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427"/>
  <workbookPr/>
  <mc:AlternateContent xmlns:mc="http://schemas.openxmlformats.org/markup-compatibility/2006">
    <mc:Choice Requires="x15">
      <x15ac:absPath xmlns:x15ac="http://schemas.microsoft.com/office/spreadsheetml/2010/11/ac" url="C:\Users\Maruto\Desktop\"/>
    </mc:Choice>
  </mc:AlternateContent>
  <xr:revisionPtr revIDLastSave="0" documentId="13_ncr:1_{AF348B34-B539-41B1-B8A3-62416525D778}" xr6:coauthVersionLast="47" xr6:coauthVersionMax="47" xr10:uidLastSave="{00000000-0000-0000-0000-000000000000}"/>
  <bookViews>
    <workbookView xWindow="28680" yWindow="-120" windowWidth="24240" windowHeight="13140" tabRatio="791" firstSheet="2" activeTab="5" xr2:uid="{00000000-000D-0000-FFFF-FFFF00000000}"/>
  </bookViews>
  <sheets>
    <sheet name="Hoja1" sheetId="7" r:id="rId1"/>
    <sheet name="EJ 1_1" sheetId="3" r:id="rId2"/>
    <sheet name="EJ 1_2" sheetId="4" r:id="rId3"/>
    <sheet name="EJ 2_1" sheetId="5" r:id="rId4"/>
    <sheet name="EJ 2_2" sheetId="6" r:id="rId5"/>
    <sheet name="DELARACIONES 1" sheetId="8" r:id="rId6"/>
    <sheet name="DELARACIONES 2" sheetId="9" r:id="rId7"/>
    <sheet name="DELARACIONES 3" sheetId="10" r:id="rId8"/>
    <sheet name="DELARACIONES 4" sheetId="11" r:id="rId9"/>
    <sheet name="DELARACIONES 5" sheetId="12" r:id="rId10"/>
  </sheets>
  <externalReferences>
    <externalReference r:id="rId11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3" i="12" l="1"/>
  <c r="E31" i="12"/>
  <c r="D31" i="12"/>
  <c r="G30" i="12"/>
  <c r="G31" i="12" s="1"/>
  <c r="F30" i="12"/>
  <c r="F31" i="12" s="1"/>
  <c r="F26" i="12"/>
  <c r="E26" i="12"/>
  <c r="E33" i="12" s="1"/>
  <c r="D26" i="12"/>
  <c r="G25" i="12"/>
  <c r="G24" i="12"/>
  <c r="F24" i="12"/>
  <c r="F23" i="12"/>
  <c r="G23" i="12" s="1"/>
  <c r="G26" i="12" s="1"/>
  <c r="G33" i="12" s="1"/>
  <c r="R20" i="12"/>
  <c r="E18" i="12"/>
  <c r="D18" i="12"/>
  <c r="D19" i="12" s="1"/>
  <c r="G17" i="12"/>
  <c r="G18" i="12" s="1"/>
  <c r="F17" i="12"/>
  <c r="F18" i="12" s="1"/>
  <c r="R14" i="12"/>
  <c r="F14" i="12"/>
  <c r="E14" i="12"/>
  <c r="E19" i="12" s="1"/>
  <c r="D14" i="12"/>
  <c r="F13" i="12"/>
  <c r="G13" i="12" s="1"/>
  <c r="G12" i="12"/>
  <c r="F12" i="12"/>
  <c r="K11" i="12"/>
  <c r="K14" i="12" s="1"/>
  <c r="J11" i="12"/>
  <c r="J14" i="12" s="1"/>
  <c r="F11" i="12"/>
  <c r="G11" i="12" s="1"/>
  <c r="G14" i="12" s="1"/>
  <c r="O32" i="11"/>
  <c r="M32" i="11"/>
  <c r="F31" i="11"/>
  <c r="E31" i="11"/>
  <c r="D31" i="11"/>
  <c r="G30" i="11"/>
  <c r="G31" i="11" s="1"/>
  <c r="F30" i="11"/>
  <c r="M29" i="11"/>
  <c r="M28" i="11"/>
  <c r="E26" i="11"/>
  <c r="E33" i="11" s="1"/>
  <c r="D26" i="11"/>
  <c r="D33" i="11" s="1"/>
  <c r="O29" i="11" s="1"/>
  <c r="G25" i="11"/>
  <c r="F24" i="11"/>
  <c r="G24" i="11" s="1"/>
  <c r="F23" i="11"/>
  <c r="G23" i="11" s="1"/>
  <c r="G26" i="11" s="1"/>
  <c r="G33" i="11" s="1"/>
  <c r="F18" i="11"/>
  <c r="E18" i="11"/>
  <c r="D18" i="11"/>
  <c r="R17" i="11"/>
  <c r="G17" i="11"/>
  <c r="G18" i="11" s="1"/>
  <c r="F17" i="11"/>
  <c r="K14" i="11"/>
  <c r="E14" i="11"/>
  <c r="E19" i="11" s="1"/>
  <c r="D14" i="11"/>
  <c r="D19" i="11" s="1"/>
  <c r="O28" i="11" s="1"/>
  <c r="F13" i="11"/>
  <c r="G13" i="11" s="1"/>
  <c r="F12" i="11"/>
  <c r="G12" i="11" s="1"/>
  <c r="K11" i="11"/>
  <c r="F11" i="11"/>
  <c r="F14" i="11" s="1"/>
  <c r="F19" i="11" s="1"/>
  <c r="O32" i="10"/>
  <c r="F31" i="10"/>
  <c r="E31" i="10"/>
  <c r="D31" i="10"/>
  <c r="G30" i="10"/>
  <c r="G31" i="10" s="1"/>
  <c r="F30" i="10"/>
  <c r="M29" i="10"/>
  <c r="M28" i="10"/>
  <c r="E26" i="10"/>
  <c r="E33" i="10" s="1"/>
  <c r="D26" i="10"/>
  <c r="D33" i="10" s="1"/>
  <c r="O29" i="10" s="1"/>
  <c r="G25" i="10"/>
  <c r="F24" i="10"/>
  <c r="G24" i="10" s="1"/>
  <c r="F23" i="10"/>
  <c r="F26" i="10" s="1"/>
  <c r="F33" i="10" s="1"/>
  <c r="E19" i="10"/>
  <c r="F18" i="10"/>
  <c r="E18" i="10"/>
  <c r="D18" i="10"/>
  <c r="R17" i="10"/>
  <c r="G17" i="10"/>
  <c r="G18" i="10" s="1"/>
  <c r="F17" i="10"/>
  <c r="R16" i="10"/>
  <c r="M32" i="10" s="1"/>
  <c r="E14" i="10"/>
  <c r="D14" i="10"/>
  <c r="D19" i="10" s="1"/>
  <c r="O28" i="10" s="1"/>
  <c r="G13" i="10"/>
  <c r="F13" i="10"/>
  <c r="F12" i="10"/>
  <c r="G12" i="10" s="1"/>
  <c r="K11" i="10"/>
  <c r="K14" i="10" s="1"/>
  <c r="J11" i="10"/>
  <c r="L11" i="10" s="1"/>
  <c r="L14" i="10" s="1"/>
  <c r="G11" i="10"/>
  <c r="G14" i="10" s="1"/>
  <c r="G19" i="10" s="1"/>
  <c r="F11" i="10"/>
  <c r="E31" i="9"/>
  <c r="E33" i="9" s="1"/>
  <c r="D31" i="9"/>
  <c r="D33" i="9" s="1"/>
  <c r="F30" i="9"/>
  <c r="G30" i="9" s="1"/>
  <c r="G31" i="9" s="1"/>
  <c r="F26" i="9"/>
  <c r="E26" i="9"/>
  <c r="D26" i="9"/>
  <c r="G25" i="9"/>
  <c r="G24" i="9"/>
  <c r="F24" i="9"/>
  <c r="F23" i="9"/>
  <c r="G23" i="9" s="1"/>
  <c r="G26" i="9" s="1"/>
  <c r="D19" i="9"/>
  <c r="E18" i="9"/>
  <c r="E19" i="9" s="1"/>
  <c r="D18" i="9"/>
  <c r="F17" i="9"/>
  <c r="F18" i="9" s="1"/>
  <c r="E14" i="9"/>
  <c r="D14" i="9"/>
  <c r="F13" i="9"/>
  <c r="G13" i="9" s="1"/>
  <c r="G12" i="9"/>
  <c r="F12" i="9"/>
  <c r="K11" i="9"/>
  <c r="K14" i="9" s="1"/>
  <c r="J11" i="9"/>
  <c r="J14" i="9" s="1"/>
  <c r="R18" i="9" s="1"/>
  <c r="F11" i="9"/>
  <c r="F14" i="9" s="1"/>
  <c r="F19" i="9" s="1"/>
  <c r="R12" i="9" s="1"/>
  <c r="G31" i="8"/>
  <c r="F31" i="8"/>
  <c r="E31" i="8"/>
  <c r="D31" i="8"/>
  <c r="E26" i="8"/>
  <c r="E33" i="8" s="1"/>
  <c r="D26" i="8"/>
  <c r="D33" i="8" s="1"/>
  <c r="G25" i="8"/>
  <c r="F24" i="8"/>
  <c r="G24" i="8" s="1"/>
  <c r="G23" i="8"/>
  <c r="F23" i="8"/>
  <c r="F26" i="8" s="1"/>
  <c r="F33" i="8" s="1"/>
  <c r="R13" i="8" s="1"/>
  <c r="E19" i="8"/>
  <c r="G18" i="8"/>
  <c r="F18" i="8"/>
  <c r="E18" i="8"/>
  <c r="D18" i="8"/>
  <c r="E14" i="8"/>
  <c r="D14" i="8"/>
  <c r="D19" i="8" s="1"/>
  <c r="G13" i="8"/>
  <c r="F13" i="8"/>
  <c r="G12" i="8"/>
  <c r="G14" i="8" s="1"/>
  <c r="G19" i="8" s="1"/>
  <c r="F12" i="8"/>
  <c r="F14" i="8" s="1"/>
  <c r="F19" i="8" s="1"/>
  <c r="R12" i="8" s="1"/>
  <c r="R14" i="8" s="1"/>
  <c r="K11" i="8"/>
  <c r="K14" i="8" s="1"/>
  <c r="J11" i="8"/>
  <c r="L11" i="8" s="1"/>
  <c r="L14" i="8" s="1"/>
  <c r="G11" i="8"/>
  <c r="F11" i="8"/>
  <c r="G19" i="12" l="1"/>
  <c r="F19" i="12"/>
  <c r="F33" i="12"/>
  <c r="L11" i="12"/>
  <c r="L14" i="12" s="1"/>
  <c r="Q28" i="11"/>
  <c r="R12" i="11"/>
  <c r="J11" i="11"/>
  <c r="F26" i="11"/>
  <c r="F33" i="11" s="1"/>
  <c r="G11" i="11"/>
  <c r="G14" i="11" s="1"/>
  <c r="G19" i="11" s="1"/>
  <c r="Q29" i="10"/>
  <c r="M30" i="10"/>
  <c r="R13" i="10"/>
  <c r="F14" i="10"/>
  <c r="F19" i="10" s="1"/>
  <c r="G23" i="10"/>
  <c r="G26" i="10" s="1"/>
  <c r="G33" i="10" s="1"/>
  <c r="J14" i="10"/>
  <c r="R18" i="10" s="1"/>
  <c r="M33" i="10" s="1"/>
  <c r="F33" i="9"/>
  <c r="R13" i="9" s="1"/>
  <c r="R15" i="9" s="1"/>
  <c r="R20" i="9" s="1"/>
  <c r="G33" i="9"/>
  <c r="L11" i="9"/>
  <c r="L14" i="9" s="1"/>
  <c r="G17" i="9"/>
  <c r="G18" i="9" s="1"/>
  <c r="F31" i="9"/>
  <c r="G11" i="9"/>
  <c r="G14" i="9" s="1"/>
  <c r="G26" i="8"/>
  <c r="G33" i="8" s="1"/>
  <c r="J14" i="8"/>
  <c r="R18" i="8" s="1"/>
  <c r="R20" i="8" s="1"/>
  <c r="R14" i="11" l="1"/>
  <c r="M30" i="11"/>
  <c r="Q29" i="11"/>
  <c r="R13" i="11"/>
  <c r="J14" i="11"/>
  <c r="R18" i="11" s="1"/>
  <c r="M33" i="11" s="1"/>
  <c r="L11" i="11"/>
  <c r="L14" i="11" s="1"/>
  <c r="Q28" i="10"/>
  <c r="R12" i="10"/>
  <c r="R14" i="10" s="1"/>
  <c r="G19" i="9"/>
  <c r="R20" i="11" l="1"/>
  <c r="M31" i="11"/>
  <c r="R21" i="10"/>
  <c r="M31" i="10"/>
  <c r="C30" i="6" l="1"/>
  <c r="V31" i="6"/>
  <c r="U31" i="6"/>
  <c r="U34" i="6" s="1"/>
  <c r="T31" i="6"/>
  <c r="S31" i="6"/>
  <c r="C31" i="6"/>
  <c r="V30" i="6"/>
  <c r="V34" i="6" s="1"/>
  <c r="U30" i="6"/>
  <c r="T30" i="6"/>
  <c r="T34" i="6" s="1"/>
  <c r="S30" i="6"/>
  <c r="S34" i="6" s="1"/>
  <c r="C34" i="6"/>
  <c r="D46" i="6" s="1"/>
  <c r="K22" i="6"/>
  <c r="D20" i="6"/>
  <c r="H14" i="6"/>
  <c r="I14" i="6" s="1"/>
  <c r="H13" i="6"/>
  <c r="I13" i="6" s="1"/>
  <c r="D13" i="6"/>
  <c r="H12" i="6"/>
  <c r="I12" i="6" s="1"/>
  <c r="D12" i="6"/>
  <c r="C31" i="5"/>
  <c r="C30" i="5"/>
  <c r="V31" i="5"/>
  <c r="U31" i="5"/>
  <c r="U34" i="5" s="1"/>
  <c r="T31" i="5"/>
  <c r="S31" i="5"/>
  <c r="V30" i="5"/>
  <c r="V34" i="5" s="1"/>
  <c r="U30" i="5"/>
  <c r="T30" i="5"/>
  <c r="T34" i="5" s="1"/>
  <c r="S30" i="5"/>
  <c r="S34" i="5" s="1"/>
  <c r="C34" i="5"/>
  <c r="D46" i="5" s="1"/>
  <c r="K22" i="5"/>
  <c r="D20" i="5"/>
  <c r="H14" i="5"/>
  <c r="I14" i="5" s="1"/>
  <c r="H13" i="5"/>
  <c r="I13" i="5" s="1"/>
  <c r="D13" i="5"/>
  <c r="D38" i="5" s="1"/>
  <c r="H12" i="5"/>
  <c r="I12" i="5" s="1"/>
  <c r="D12" i="5"/>
  <c r="D44" i="4"/>
  <c r="D42" i="4"/>
  <c r="D40" i="4"/>
  <c r="C31" i="4"/>
  <c r="C30" i="4"/>
  <c r="C34" i="4" s="1"/>
  <c r="D46" i="4" s="1"/>
  <c r="K22" i="4"/>
  <c r="D20" i="4"/>
  <c r="H14" i="4"/>
  <c r="I14" i="4" s="1"/>
  <c r="H13" i="4"/>
  <c r="I13" i="4" s="1"/>
  <c r="D13" i="4"/>
  <c r="H12" i="4"/>
  <c r="I12" i="4" s="1"/>
  <c r="D12" i="4"/>
  <c r="D44" i="3"/>
  <c r="D42" i="3"/>
  <c r="D40" i="3"/>
  <c r="C31" i="3"/>
  <c r="C30" i="3"/>
  <c r="C34" i="3" s="1"/>
  <c r="D46" i="3" s="1"/>
  <c r="K22" i="3"/>
  <c r="D20" i="3"/>
  <c r="H14" i="3"/>
  <c r="I14" i="3" s="1"/>
  <c r="H13" i="3"/>
  <c r="I13" i="3" s="1"/>
  <c r="H12" i="3"/>
  <c r="I12" i="3" s="1"/>
  <c r="D12" i="3"/>
  <c r="D13" i="3"/>
  <c r="D16" i="3" s="1"/>
  <c r="D37" i="3" s="1"/>
  <c r="D38" i="3" l="1"/>
  <c r="D39" i="3" s="1"/>
  <c r="D41" i="3" s="1"/>
  <c r="D43" i="3" s="1"/>
  <c r="D45" i="3" s="1"/>
  <c r="D47" i="3" s="1"/>
  <c r="D48" i="3" s="1"/>
  <c r="D48" i="4" s="1"/>
  <c r="I16" i="3"/>
  <c r="H18" i="3" s="1"/>
  <c r="C26" i="3" s="1"/>
  <c r="D38" i="6"/>
  <c r="D38" i="4"/>
  <c r="D16" i="6"/>
  <c r="D37" i="6"/>
  <c r="I16" i="6"/>
  <c r="H18" i="6" s="1"/>
  <c r="C26" i="6" s="1"/>
  <c r="I16" i="5"/>
  <c r="D16" i="5"/>
  <c r="I16" i="4"/>
  <c r="D16" i="4"/>
  <c r="D39" i="6" l="1"/>
  <c r="D41" i="6" s="1"/>
  <c r="D43" i="6" s="1"/>
  <c r="D45" i="6" s="1"/>
  <c r="D47" i="6" s="1"/>
  <c r="H18" i="5"/>
  <c r="C26" i="5" s="1"/>
  <c r="D37" i="5"/>
  <c r="D39" i="5" s="1"/>
  <c r="D41" i="5" s="1"/>
  <c r="D43" i="5" s="1"/>
  <c r="D45" i="5" s="1"/>
  <c r="D47" i="5" s="1"/>
  <c r="D48" i="5" s="1"/>
  <c r="D48" i="6" s="1"/>
  <c r="D37" i="4"/>
  <c r="D39" i="4" s="1"/>
  <c r="D41" i="4" s="1"/>
  <c r="D43" i="4" s="1"/>
  <c r="D45" i="4" s="1"/>
  <c r="D47" i="4" s="1"/>
  <c r="D49" i="4" s="1"/>
  <c r="H18" i="4"/>
  <c r="C26" i="4" s="1"/>
  <c r="D49" i="6" l="1"/>
</calcChain>
</file>

<file path=xl/sharedStrings.xml><?xml version="1.0" encoding="utf-8"?>
<sst xmlns="http://schemas.openxmlformats.org/spreadsheetml/2006/main" count="747" uniqueCount="153">
  <si>
    <t xml:space="preserve">UTILIDADES </t>
  </si>
  <si>
    <t>2,13 FBD</t>
  </si>
  <si>
    <t xml:space="preserve">INGRESOS GRAVADOS </t>
  </si>
  <si>
    <t>14TO SUELDO</t>
  </si>
  <si>
    <t xml:space="preserve">INGRESOS GRAVABLES </t>
  </si>
  <si>
    <r>
      <rPr>
        <b/>
        <sz val="10"/>
        <rFont val="Carlito"/>
        <family val="2"/>
      </rPr>
      <t>AÑO 2022 - En dólares</t>
    </r>
  </si>
  <si>
    <t xml:space="preserve">(-) APORTE IESS </t>
  </si>
  <si>
    <r>
      <rPr>
        <b/>
        <sz val="10"/>
        <rFont val="Carlito"/>
        <family val="2"/>
      </rPr>
      <t>Fracción Básica</t>
    </r>
  </si>
  <si>
    <r>
      <rPr>
        <b/>
        <sz val="10"/>
        <rFont val="Carlito"/>
        <family val="2"/>
      </rPr>
      <t>Exceso hasta</t>
    </r>
  </si>
  <si>
    <r>
      <rPr>
        <b/>
        <sz val="10"/>
        <rFont val="Carlito"/>
        <family val="2"/>
      </rPr>
      <t xml:space="preserve">Impuesto Fracción
</t>
    </r>
    <r>
      <rPr>
        <b/>
        <sz val="10"/>
        <rFont val="Carlito"/>
        <family val="2"/>
      </rPr>
      <t>Básica</t>
    </r>
  </si>
  <si>
    <r>
      <rPr>
        <b/>
        <sz val="10"/>
        <rFont val="Carlito"/>
        <family val="2"/>
      </rPr>
      <t xml:space="preserve">% Impuesto Fracción
</t>
    </r>
    <r>
      <rPr>
        <b/>
        <sz val="10"/>
        <rFont val="Carlito"/>
        <family val="2"/>
      </rPr>
      <t>Excedente</t>
    </r>
  </si>
  <si>
    <t xml:space="preserve">(=) BASE IMPONIBLE </t>
  </si>
  <si>
    <t>(-) FRACCION BASICA RENGLON</t>
  </si>
  <si>
    <t>(=)</t>
  </si>
  <si>
    <t>(*) % IMP FRACCION EXCEDENTE RENGLON</t>
  </si>
  <si>
    <t xml:space="preserve">(+) IMP FR BASICA RENGLON </t>
  </si>
  <si>
    <t>(=) IMPUESTO RENTA CAUSADO ANUAL</t>
  </si>
  <si>
    <t xml:space="preserve">(-)REBAJA  GASTOS PERSONALES </t>
  </si>
  <si>
    <t xml:space="preserve">(=) IMPUESTO A LA RENTA A PAGAR </t>
  </si>
  <si>
    <t xml:space="preserve">(/) N MESES PROYECCION </t>
  </si>
  <si>
    <r>
      <rPr>
        <sz val="10"/>
        <rFont val="Carlito"/>
        <family val="2"/>
      </rPr>
      <t>en adelante</t>
    </r>
  </si>
  <si>
    <t xml:space="preserve">canasta basica </t>
  </si>
  <si>
    <t xml:space="preserve">RELACION DE DEPENDENCIA </t>
  </si>
  <si>
    <t>CUMPLIR HORARIO TRABAJK¿O</t>
  </si>
  <si>
    <t xml:space="preserve">REMUNERACION FIJA </t>
  </si>
  <si>
    <t xml:space="preserve">SUBORDINADO </t>
  </si>
  <si>
    <t xml:space="preserve">CALCULAR EN EL MES DE ENERO O FECHA INGRESO TRABAJADOR </t>
  </si>
  <si>
    <t xml:space="preserve">SUELDO UNIFICADO </t>
  </si>
  <si>
    <t xml:space="preserve">EXTRAS </t>
  </si>
  <si>
    <t xml:space="preserve">13ERO SUELDO </t>
  </si>
  <si>
    <t>FONDOS RESERVA</t>
  </si>
  <si>
    <t xml:space="preserve">MENSUAL </t>
  </si>
  <si>
    <t xml:space="preserve">ANUAL </t>
  </si>
  <si>
    <t>TOTAL</t>
  </si>
  <si>
    <t>SUELDO /12</t>
  </si>
  <si>
    <t>SBU/12</t>
  </si>
  <si>
    <t>SUELDO * 8,33%</t>
  </si>
  <si>
    <t>INGRESOS EXENTOS IR</t>
  </si>
  <si>
    <t xml:space="preserve">TOTAL INGRESOS BRUTOS </t>
  </si>
  <si>
    <t>(L)</t>
  </si>
  <si>
    <t>(L) Mayor $24.090,30</t>
  </si>
  <si>
    <t>(L) Menor $24.090,30</t>
  </si>
  <si>
    <t xml:space="preserve">FBD 2022 </t>
  </si>
  <si>
    <t xml:space="preserve">VALOR MENOR ENTRE GASTOS PERSONALES Y 7 CANASTAS BASICAS </t>
  </si>
  <si>
    <t xml:space="preserve">INGRESOS BRUTOS </t>
  </si>
  <si>
    <t xml:space="preserve">GASTOS PERSONALES </t>
  </si>
  <si>
    <t>MONTO MAXIMO REBAJA</t>
  </si>
  <si>
    <t xml:space="preserve">% APLICABLE </t>
  </si>
  <si>
    <t xml:space="preserve">% GASTOS PERSONALES </t>
  </si>
  <si>
    <t xml:space="preserve">% 7 CANASTA BASICA </t>
  </si>
  <si>
    <t>7 CANASTAS BASICAS</t>
  </si>
  <si>
    <t xml:space="preserve">IMPUESTO A LA RENTA RELACION DEPENDENCIA </t>
  </si>
  <si>
    <r>
      <t xml:space="preserve">VALOR </t>
    </r>
    <r>
      <rPr>
        <sz val="11"/>
        <color rgb="FFFF0000"/>
        <rFont val="Calibri"/>
        <family val="2"/>
        <scheme val="minor"/>
      </rPr>
      <t>MENOR</t>
    </r>
    <r>
      <rPr>
        <sz val="11"/>
        <color theme="1"/>
        <rFont val="Calibri"/>
        <family val="2"/>
        <scheme val="minor"/>
      </rPr>
      <t xml:space="preserve"> ENTRE GASTOS PERSONALES Y 7 CANASTAS BASICAS </t>
    </r>
  </si>
  <si>
    <t xml:space="preserve">CALCULO IMPUESTO A LA RENTA </t>
  </si>
  <si>
    <t xml:space="preserve">VALORES REALES DICIEMBRE </t>
  </si>
  <si>
    <t>(-) VALORES RETENIDOS ENE A NOV</t>
  </si>
  <si>
    <t xml:space="preserve">(=) VALOR A RETENER DICIEMBRE </t>
  </si>
  <si>
    <r>
      <rPr>
        <b/>
        <sz val="10"/>
        <rFont val="Carlito"/>
        <family val="2"/>
      </rPr>
      <t>Impuesto Fracción
Básica</t>
    </r>
  </si>
  <si>
    <r>
      <rPr>
        <b/>
        <sz val="10"/>
        <rFont val="Carlito"/>
        <family val="2"/>
      </rPr>
      <t>% Impuesto Fracción
Excedente</t>
    </r>
  </si>
  <si>
    <t>Rebaja maxima de gastos personales</t>
  </si>
  <si>
    <t>MAURO ECHEVERRIA</t>
  </si>
  <si>
    <t>RUC</t>
  </si>
  <si>
    <t>RAZON</t>
  </si>
  <si>
    <t>REGIMEN</t>
  </si>
  <si>
    <t>OBLIGADO</t>
  </si>
  <si>
    <t>ESTADO</t>
  </si>
  <si>
    <t>1790032337001</t>
  </si>
  <si>
    <t>PATE C.A.</t>
  </si>
  <si>
    <t>ESPECIAL</t>
  </si>
  <si>
    <t>SI</t>
  </si>
  <si>
    <t>AL DIA EN SUS OBLIGACIONES</t>
  </si>
  <si>
    <t>1792535409001</t>
  </si>
  <si>
    <t>MEGA-ARCOE INDUSTRIAS ARCOE CIA. LTDA.</t>
  </si>
  <si>
    <t>OTROS</t>
  </si>
  <si>
    <t>1792601827001</t>
  </si>
  <si>
    <t>TEMPOEL DEL ECUADOR S.A.</t>
  </si>
  <si>
    <t>RIMPE</t>
  </si>
  <si>
    <t>1792593212001</t>
  </si>
  <si>
    <t>PATRICIO ANDRADE MARIN CHARITABLE FOUNDATION, INC</t>
  </si>
  <si>
    <t>1726263054001</t>
  </si>
  <si>
    <t>CHAVEZ PINEIDA EVELIN ALEXANDRA</t>
  </si>
  <si>
    <t>NO</t>
  </si>
  <si>
    <t>OBLIGACIONES PENDIENTES</t>
  </si>
  <si>
    <t>1793197368001</t>
  </si>
  <si>
    <t>BLUEMORPHO S.A.S.</t>
  </si>
  <si>
    <t>1793192990001</t>
  </si>
  <si>
    <t>CUSTOMS HELP S.A.</t>
  </si>
  <si>
    <t>1791256115001</t>
  </si>
  <si>
    <t>OTECEL S.A.</t>
  </si>
  <si>
    <t>1791251237001</t>
  </si>
  <si>
    <t>CONSORCIO ECUATORIANO DE TELECOMUNICACIONES S.A. CONECEL</t>
  </si>
  <si>
    <t>1790016919001</t>
  </si>
  <si>
    <t>CORPORACION FAVORITA C.A.</t>
  </si>
  <si>
    <t xml:space="preserve">DECLARACIONES DE IVA </t>
  </si>
  <si>
    <t>MENSUAL</t>
  </si>
  <si>
    <t>general</t>
  </si>
  <si>
    <t>SEMESTRAL</t>
  </si>
  <si>
    <t xml:space="preserve">ENE-JUN JULIO </t>
  </si>
  <si>
    <t xml:space="preserve">JUL - DIC ENERO </t>
  </si>
  <si>
    <t xml:space="preserve">REPORTAN COMPRAS Y VENTAS Y RETENCIONES QUE TENGAN SUSTENTO TRIBUTARIO </t>
  </si>
  <si>
    <t xml:space="preserve">REPORTE DE VENTAS </t>
  </si>
  <si>
    <t>FECHA</t>
  </si>
  <si>
    <t xml:space="preserve">TIPO COMPROBANTE </t>
  </si>
  <si>
    <t xml:space="preserve">N FACTURA </t>
  </si>
  <si>
    <t>SUBTOTAL 12%</t>
  </si>
  <si>
    <t>SUBTOTAL 0%</t>
  </si>
  <si>
    <t xml:space="preserve">IVA </t>
  </si>
  <si>
    <t xml:space="preserve">TOTAL </t>
  </si>
  <si>
    <t>FORMA DE PAGO</t>
  </si>
  <si>
    <t>RET IVA</t>
  </si>
  <si>
    <t xml:space="preserve">RET FUENTE </t>
  </si>
  <si>
    <t xml:space="preserve">LIQUIDACION DE IVA </t>
  </si>
  <si>
    <t xml:space="preserve">FACTURA </t>
  </si>
  <si>
    <t>001-001-788</t>
  </si>
  <si>
    <t xml:space="preserve">CONTADO </t>
  </si>
  <si>
    <r>
      <t xml:space="preserve">IVA EN VENTAS </t>
    </r>
    <r>
      <rPr>
        <sz val="11"/>
        <color rgb="FFFF0000"/>
        <rFont val="Calibri"/>
        <family val="2"/>
        <scheme val="minor"/>
      </rPr>
      <t>CREDITO</t>
    </r>
    <r>
      <rPr>
        <sz val="11"/>
        <color theme="1"/>
        <rFont val="Calibri"/>
        <family val="2"/>
        <scheme val="minor"/>
      </rPr>
      <t xml:space="preserve"> MES ANTERIOR </t>
    </r>
  </si>
  <si>
    <t>001-001-789</t>
  </si>
  <si>
    <t>(+) IVA EN VENTAS NETO CONTADO</t>
  </si>
  <si>
    <t>001-001-790</t>
  </si>
  <si>
    <t xml:space="preserve">(-) IVA EN COMPRAS NETO </t>
  </si>
  <si>
    <t xml:space="preserve">(=) MAYOR QUE CERO IMPUESTO CAUSADO  </t>
  </si>
  <si>
    <t xml:space="preserve">REPORTE DE DEVOLUCIONES EN VENTAS </t>
  </si>
  <si>
    <t xml:space="preserve">(=) MENOR QUE CERO CREDITO TRIBUTARIO </t>
  </si>
  <si>
    <t>(-)CREDITOS TRIBUTARIOS ADQUISICIONES</t>
  </si>
  <si>
    <t>001-001-123</t>
  </si>
  <si>
    <t xml:space="preserve">(-) CREDITOS TRIBUTARIOS POR RETENCIONES </t>
  </si>
  <si>
    <t>001-002-123</t>
  </si>
  <si>
    <r>
      <t xml:space="preserve">(-) RETENCIONES DE </t>
    </r>
    <r>
      <rPr>
        <sz val="11"/>
        <color rgb="FFFF0000"/>
        <rFont val="Calibri"/>
        <family val="2"/>
        <scheme val="minor"/>
      </rPr>
      <t>IVA</t>
    </r>
    <r>
      <rPr>
        <sz val="11"/>
        <color theme="1"/>
        <rFont val="Calibri"/>
        <family val="2"/>
        <scheme val="minor"/>
      </rPr>
      <t xml:space="preserve"> QUE ME EFECTUARON </t>
    </r>
  </si>
  <si>
    <t>VENTAS NETAS :</t>
  </si>
  <si>
    <t xml:space="preserve">VENTAS TOTALES - DEVOLUCIONES </t>
  </si>
  <si>
    <t xml:space="preserve">(=) MAYOR QUE CERO IMPUESTO A PAGAR </t>
  </si>
  <si>
    <t>REPORTE DE COMPRAS</t>
  </si>
  <si>
    <t>001-004-544</t>
  </si>
  <si>
    <t>001-004-5425</t>
  </si>
  <si>
    <t xml:space="preserve">AGENTE RETENCION </t>
  </si>
  <si>
    <t>COMPRAS  NETAS :</t>
  </si>
  <si>
    <t xml:space="preserve">COMPRAS  TOTALES - DEVOLUCIONES </t>
  </si>
  <si>
    <t>SE TIENE DERECHO A CREDITO TRIBUTARIO CUANDO SE FACTURE CON TARIFA 12 Y 0%</t>
  </si>
  <si>
    <t>NO SE VA A TENER DERECHO A CREDITO TRIBUTARIO CUANDO SE FACTURE TARIFA 0%</t>
  </si>
  <si>
    <t xml:space="preserve">CT ADQUISICIONES </t>
  </si>
  <si>
    <t xml:space="preserve">CT RETENCIONES </t>
  </si>
  <si>
    <t>REPORTE DE DEVOLUCIONES EN COMPRAS</t>
  </si>
  <si>
    <r>
      <t xml:space="preserve">IVA EN VENTAS </t>
    </r>
    <r>
      <rPr>
        <sz val="11"/>
        <color rgb="FFFF0000"/>
        <rFont val="Calibri"/>
        <family val="2"/>
        <scheme val="minor"/>
      </rPr>
      <t>CREDITO</t>
    </r>
    <r>
      <rPr>
        <sz val="11"/>
        <color theme="1"/>
        <rFont val="Calibri"/>
        <family val="2"/>
        <scheme val="minor"/>
      </rPr>
      <t xml:space="preserve"> MES ANTERIOR </t>
    </r>
  </si>
  <si>
    <r>
      <t xml:space="preserve">(-) RETENCIONES DE </t>
    </r>
    <r>
      <rPr>
        <sz val="11"/>
        <color rgb="FFFF0000"/>
        <rFont val="Calibri"/>
        <family val="2"/>
        <scheme val="minor"/>
      </rPr>
      <t>IVA</t>
    </r>
    <r>
      <rPr>
        <sz val="11"/>
        <color theme="1"/>
        <rFont val="Calibri"/>
        <family val="2"/>
        <scheme val="minor"/>
      </rPr>
      <t xml:space="preserve"> QUE ME EFECTUARON </t>
    </r>
  </si>
  <si>
    <t xml:space="preserve">casillero </t>
  </si>
  <si>
    <t xml:space="preserve">valor </t>
  </si>
  <si>
    <t>Ventas</t>
  </si>
  <si>
    <t xml:space="preserve">Compras </t>
  </si>
  <si>
    <t xml:space="preserve">Credito </t>
  </si>
  <si>
    <t xml:space="preserve">Imp Causado </t>
  </si>
  <si>
    <t>CT Anterior</t>
  </si>
  <si>
    <t>Ret IVA</t>
  </si>
  <si>
    <t>CT prox mes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</si>
</sst>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6" formatCode="&quot;$&quot;#,##0;[Red]&quot;$&quot;\-#,##0"/>
    <numFmt numFmtId="8" formatCode="&quot;$&quot;#,##0.00;[Red]&quot;$&quot;\-#,##0.00"/>
    <numFmt numFmtId="43" formatCode="_ * #,##0.00_ ;_ * \-#,##0.00_ ;_ * &quot;-&quot;??_ ;_ @_ "/>
    <numFmt numFmtId="164" formatCode="_(* #,##0.00_);_(* \(#,##0.00\);_(* &quot;-&quot;??_);_(@_)"/>
  </numFmts>
  <fonts count="2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0"/>
      <color rgb="FF000000"/>
      <name val="Calibri"/>
      <family val="2"/>
    </font>
    <font>
      <sz val="10"/>
      <color rgb="FF000000"/>
      <name val="Calibri"/>
      <family val="2"/>
      <charset val="1"/>
    </font>
    <font>
      <sz val="10"/>
      <color rgb="FFFFFF00"/>
      <name val="Calibri"/>
      <family val="2"/>
      <charset val="1"/>
    </font>
    <font>
      <b/>
      <sz val="10"/>
      <name val="Carlito"/>
    </font>
    <font>
      <b/>
      <sz val="10"/>
      <name val="Carlito"/>
      <family val="2"/>
    </font>
    <font>
      <sz val="10"/>
      <color rgb="FF000000"/>
      <name val="Carlito"/>
      <family val="2"/>
    </font>
    <font>
      <sz val="10"/>
      <color rgb="FFFF0000"/>
      <name val="Calibri"/>
      <family val="2"/>
      <charset val="1"/>
    </font>
    <font>
      <sz val="10"/>
      <name val="Carlito"/>
    </font>
    <font>
      <sz val="10"/>
      <name val="Carlito"/>
      <family val="2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0"/>
      <name val="Calibri"/>
      <family val="2"/>
      <charset val="1"/>
    </font>
    <font>
      <b/>
      <sz val="11"/>
      <name val="Calibri"/>
      <family val="2"/>
      <scheme val="minor"/>
    </font>
    <font>
      <b/>
      <sz val="10"/>
      <name val="Calibri"/>
      <family val="2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rgb="FF212529"/>
      <name val="Roboto"/>
    </font>
  </fonts>
  <fills count="10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00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59">
    <xf numFmtId="0" fontId="0" fillId="0" borderId="0" xfId="0"/>
    <xf numFmtId="0" fontId="2" fillId="0" borderId="0" xfId="0" applyFont="1"/>
    <xf numFmtId="43" fontId="0" fillId="0" borderId="0" xfId="1" applyFont="1"/>
    <xf numFmtId="0" fontId="0" fillId="0" borderId="1" xfId="0" applyBorder="1"/>
    <xf numFmtId="0" fontId="0" fillId="0" borderId="2" xfId="0" applyBorder="1"/>
    <xf numFmtId="43" fontId="3" fillId="2" borderId="2" xfId="1" applyFont="1" applyFill="1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9" fontId="3" fillId="0" borderId="0" xfId="2" applyFont="1" applyBorder="1"/>
    <xf numFmtId="43" fontId="4" fillId="3" borderId="5" xfId="1" applyFont="1" applyFill="1" applyBorder="1"/>
    <xf numFmtId="0" fontId="0" fillId="0" borderId="6" xfId="0" applyBorder="1"/>
    <xf numFmtId="0" fontId="0" fillId="0" borderId="7" xfId="0" applyBorder="1"/>
    <xf numFmtId="9" fontId="3" fillId="0" borderId="7" xfId="2" applyFont="1" applyBorder="1"/>
    <xf numFmtId="43" fontId="4" fillId="3" borderId="8" xfId="1" applyFont="1" applyFill="1" applyBorder="1"/>
    <xf numFmtId="43" fontId="0" fillId="0" borderId="0" xfId="0" applyNumberFormat="1"/>
    <xf numFmtId="43" fontId="0" fillId="4" borderId="0" xfId="1" applyFont="1" applyFill="1"/>
    <xf numFmtId="43" fontId="0" fillId="0" borderId="9" xfId="1" applyFont="1" applyBorder="1"/>
    <xf numFmtId="0" fontId="5" fillId="0" borderId="13" xfId="0" applyFont="1" applyBorder="1" applyAlignment="1">
      <alignment horizontal="right" vertical="center" wrapText="1"/>
    </xf>
    <xf numFmtId="0" fontId="5" fillId="0" borderId="13" xfId="0" applyFont="1" applyBorder="1" applyAlignment="1">
      <alignment horizontal="left" vertical="center" wrapText="1" indent="1"/>
    </xf>
    <xf numFmtId="0" fontId="0" fillId="0" borderId="13" xfId="0" applyBorder="1" applyAlignment="1">
      <alignment horizontal="left" vertical="top" wrapText="1" indent="2"/>
    </xf>
    <xf numFmtId="0" fontId="0" fillId="0" borderId="13" xfId="0" applyBorder="1" applyAlignment="1">
      <alignment horizontal="left" vertical="top" wrapText="1" indent="1"/>
    </xf>
    <xf numFmtId="1" fontId="7" fillId="0" borderId="13" xfId="0" applyNumberFormat="1" applyFont="1" applyFill="1" applyBorder="1" applyAlignment="1">
      <alignment horizontal="center" vertical="top" shrinkToFit="1"/>
    </xf>
    <xf numFmtId="4" fontId="7" fillId="0" borderId="13" xfId="0" applyNumberFormat="1" applyFont="1" applyFill="1" applyBorder="1" applyAlignment="1">
      <alignment horizontal="right" vertical="top" shrinkToFit="1"/>
    </xf>
    <xf numFmtId="9" fontId="7" fillId="0" borderId="13" xfId="0" applyNumberFormat="1" applyFont="1" applyFill="1" applyBorder="1" applyAlignment="1">
      <alignment horizontal="center" vertical="top" shrinkToFit="1"/>
    </xf>
    <xf numFmtId="4" fontId="0" fillId="0" borderId="9" xfId="0" applyNumberFormat="1" applyBorder="1"/>
    <xf numFmtId="9" fontId="0" fillId="0" borderId="9" xfId="0" applyNumberFormat="1" applyBorder="1"/>
    <xf numFmtId="4" fontId="7" fillId="0" borderId="13" xfId="0" applyNumberFormat="1" applyFont="1" applyBorder="1" applyAlignment="1">
      <alignment horizontal="right" vertical="top" shrinkToFit="1"/>
    </xf>
    <xf numFmtId="1" fontId="7" fillId="0" borderId="13" xfId="0" applyNumberFormat="1" applyFont="1" applyBorder="1" applyAlignment="1">
      <alignment horizontal="center" vertical="top" shrinkToFit="1"/>
    </xf>
    <xf numFmtId="9" fontId="7" fillId="0" borderId="13" xfId="0" applyNumberFormat="1" applyFont="1" applyBorder="1" applyAlignment="1">
      <alignment horizontal="center" vertical="top" shrinkToFit="1"/>
    </xf>
    <xf numFmtId="3" fontId="7" fillId="0" borderId="13" xfId="0" applyNumberFormat="1" applyFont="1" applyFill="1" applyBorder="1" applyAlignment="1">
      <alignment horizontal="center" vertical="top" shrinkToFit="1"/>
    </xf>
    <xf numFmtId="3" fontId="7" fillId="0" borderId="13" xfId="0" applyNumberFormat="1" applyFont="1" applyBorder="1" applyAlignment="1">
      <alignment horizontal="center" vertical="top" shrinkToFit="1"/>
    </xf>
    <xf numFmtId="164" fontId="0" fillId="0" borderId="9" xfId="0" applyNumberFormat="1" applyBorder="1"/>
    <xf numFmtId="43" fontId="8" fillId="4" borderId="0" xfId="1" applyFont="1" applyFill="1"/>
    <xf numFmtId="0" fontId="9" fillId="0" borderId="13" xfId="0" applyFont="1" applyBorder="1" applyAlignment="1">
      <alignment horizontal="left" vertical="top" wrapText="1" indent="1"/>
    </xf>
    <xf numFmtId="43" fontId="0" fillId="0" borderId="0" xfId="1" applyFont="1" applyBorder="1"/>
    <xf numFmtId="0" fontId="11" fillId="0" borderId="0" xfId="0" applyFont="1"/>
    <xf numFmtId="4" fontId="7" fillId="6" borderId="13" xfId="0" applyNumberFormat="1" applyFont="1" applyFill="1" applyBorder="1" applyAlignment="1">
      <alignment horizontal="right" vertical="top" shrinkToFit="1"/>
    </xf>
    <xf numFmtId="6" fontId="0" fillId="0" borderId="0" xfId="0" applyNumberFormat="1"/>
    <xf numFmtId="0" fontId="0" fillId="7" borderId="0" xfId="0" applyFill="1"/>
    <xf numFmtId="43" fontId="0" fillId="7" borderId="0" xfId="0" applyNumberFormat="1" applyFill="1"/>
    <xf numFmtId="9" fontId="0" fillId="0" borderId="0" xfId="1" applyNumberFormat="1" applyFont="1"/>
    <xf numFmtId="43" fontId="0" fillId="0" borderId="4" xfId="1" applyFont="1" applyBorder="1"/>
    <xf numFmtId="43" fontId="0" fillId="0" borderId="5" xfId="1" applyFont="1" applyBorder="1"/>
    <xf numFmtId="43" fontId="0" fillId="7" borderId="6" xfId="0" applyNumberFormat="1" applyFill="1" applyBorder="1"/>
    <xf numFmtId="43" fontId="0" fillId="7" borderId="7" xfId="0" applyNumberFormat="1" applyFill="1" applyBorder="1"/>
    <xf numFmtId="43" fontId="0" fillId="7" borderId="8" xfId="0" applyNumberFormat="1" applyFill="1" applyBorder="1"/>
    <xf numFmtId="4" fontId="7" fillId="7" borderId="13" xfId="0" applyNumberFormat="1" applyFont="1" applyFill="1" applyBorder="1" applyAlignment="1">
      <alignment horizontal="right" vertical="top" shrinkToFit="1"/>
    </xf>
    <xf numFmtId="3" fontId="7" fillId="7" borderId="13" xfId="0" applyNumberFormat="1" applyFont="1" applyFill="1" applyBorder="1" applyAlignment="1">
      <alignment horizontal="center" vertical="top" shrinkToFit="1"/>
    </xf>
    <xf numFmtId="9" fontId="7" fillId="7" borderId="13" xfId="0" applyNumberFormat="1" applyFont="1" applyFill="1" applyBorder="1" applyAlignment="1">
      <alignment horizontal="center" vertical="top" shrinkToFit="1"/>
    </xf>
    <xf numFmtId="4" fontId="0" fillId="0" borderId="0" xfId="0" applyNumberFormat="1"/>
    <xf numFmtId="8" fontId="0" fillId="0" borderId="0" xfId="0" applyNumberFormat="1"/>
    <xf numFmtId="17" fontId="0" fillId="0" borderId="0" xfId="0" applyNumberFormat="1"/>
    <xf numFmtId="8" fontId="0" fillId="0" borderId="0" xfId="1" applyNumberFormat="1" applyFont="1"/>
    <xf numFmtId="43" fontId="0" fillId="4" borderId="0" xfId="1" applyFont="1" applyFill="1" applyBorder="1"/>
    <xf numFmtId="9" fontId="0" fillId="0" borderId="0" xfId="1" applyNumberFormat="1" applyFont="1" applyBorder="1"/>
    <xf numFmtId="8" fontId="0" fillId="0" borderId="1" xfId="1" applyNumberFormat="1" applyFont="1" applyBorder="1"/>
    <xf numFmtId="8" fontId="0" fillId="0" borderId="2" xfId="1" applyNumberFormat="1" applyFont="1" applyBorder="1"/>
    <xf numFmtId="8" fontId="0" fillId="0" borderId="3" xfId="1" applyNumberFormat="1" applyFont="1" applyBorder="1"/>
    <xf numFmtId="43" fontId="0" fillId="4" borderId="4" xfId="1" applyFont="1" applyFill="1" applyBorder="1"/>
    <xf numFmtId="43" fontId="0" fillId="4" borderId="5" xfId="1" applyFont="1" applyFill="1" applyBorder="1"/>
    <xf numFmtId="9" fontId="0" fillId="0" borderId="4" xfId="1" applyNumberFormat="1" applyFont="1" applyBorder="1"/>
    <xf numFmtId="9" fontId="0" fillId="0" borderId="5" xfId="1" applyNumberFormat="1" applyFont="1" applyBorder="1"/>
    <xf numFmtId="4" fontId="7" fillId="4" borderId="13" xfId="0" applyNumberFormat="1" applyFont="1" applyFill="1" applyBorder="1" applyAlignment="1">
      <alignment horizontal="right" vertical="top" shrinkToFit="1"/>
    </xf>
    <xf numFmtId="3" fontId="7" fillId="4" borderId="13" xfId="0" applyNumberFormat="1" applyFont="1" applyFill="1" applyBorder="1" applyAlignment="1">
      <alignment horizontal="center" vertical="top" shrinkToFit="1"/>
    </xf>
    <xf numFmtId="9" fontId="7" fillId="4" borderId="13" xfId="0" applyNumberFormat="1" applyFont="1" applyFill="1" applyBorder="1" applyAlignment="1">
      <alignment horizontal="center" vertical="top" shrinkToFit="1"/>
    </xf>
    <xf numFmtId="0" fontId="5" fillId="0" borderId="13" xfId="0" applyFont="1" applyFill="1" applyBorder="1" applyAlignment="1">
      <alignment horizontal="right" vertical="center" wrapText="1"/>
    </xf>
    <xf numFmtId="0" fontId="5" fillId="0" borderId="13" xfId="0" applyFont="1" applyFill="1" applyBorder="1" applyAlignment="1">
      <alignment horizontal="left" vertical="center" wrapText="1" indent="1"/>
    </xf>
    <xf numFmtId="0" fontId="9" fillId="0" borderId="13" xfId="0" applyFont="1" applyFill="1" applyBorder="1" applyAlignment="1">
      <alignment horizontal="left" vertical="top" wrapText="1" indent="1"/>
    </xf>
    <xf numFmtId="0" fontId="13" fillId="0" borderId="0" xfId="0" applyFont="1" applyFill="1"/>
    <xf numFmtId="4" fontId="13" fillId="0" borderId="0" xfId="0" applyNumberFormat="1" applyFont="1" applyFill="1"/>
    <xf numFmtId="43" fontId="13" fillId="0" borderId="0" xfId="1" applyFont="1" applyFill="1"/>
    <xf numFmtId="8" fontId="13" fillId="0" borderId="0" xfId="0" applyNumberFormat="1" applyFont="1" applyFill="1"/>
    <xf numFmtId="6" fontId="13" fillId="0" borderId="0" xfId="0" applyNumberFormat="1" applyFont="1" applyFill="1"/>
    <xf numFmtId="0" fontId="13" fillId="0" borderId="1" xfId="0" applyFont="1" applyFill="1" applyBorder="1"/>
    <xf numFmtId="0" fontId="13" fillId="0" borderId="2" xfId="0" applyFont="1" applyFill="1" applyBorder="1"/>
    <xf numFmtId="43" fontId="14" fillId="0" borderId="2" xfId="1" applyFont="1" applyFill="1" applyBorder="1"/>
    <xf numFmtId="0" fontId="13" fillId="0" borderId="3" xfId="0" applyFont="1" applyFill="1" applyBorder="1"/>
    <xf numFmtId="0" fontId="15" fillId="0" borderId="0" xfId="0" applyFont="1" applyFill="1"/>
    <xf numFmtId="17" fontId="13" fillId="0" borderId="0" xfId="0" applyNumberFormat="1" applyFont="1" applyFill="1"/>
    <xf numFmtId="0" fontId="13" fillId="0" borderId="4" xfId="0" applyFont="1" applyFill="1" applyBorder="1"/>
    <xf numFmtId="0" fontId="13" fillId="0" borderId="0" xfId="0" applyFont="1" applyFill="1" applyBorder="1"/>
    <xf numFmtId="9" fontId="14" fillId="0" borderId="0" xfId="2" applyFont="1" applyFill="1" applyBorder="1"/>
    <xf numFmtId="43" fontId="14" fillId="0" borderId="5" xfId="1" applyFont="1" applyFill="1" applyBorder="1"/>
    <xf numFmtId="0" fontId="13" fillId="0" borderId="6" xfId="0" applyFont="1" applyFill="1" applyBorder="1"/>
    <xf numFmtId="0" fontId="13" fillId="0" borderId="7" xfId="0" applyFont="1" applyFill="1" applyBorder="1"/>
    <xf numFmtId="9" fontId="14" fillId="0" borderId="7" xfId="2" applyFont="1" applyFill="1" applyBorder="1"/>
    <xf numFmtId="43" fontId="14" fillId="0" borderId="8" xfId="1" applyFont="1" applyFill="1" applyBorder="1"/>
    <xf numFmtId="43" fontId="13" fillId="0" borderId="0" xfId="0" applyNumberFormat="1" applyFont="1" applyFill="1"/>
    <xf numFmtId="0" fontId="16" fillId="0" borderId="0" xfId="0" applyFont="1" applyFill="1"/>
    <xf numFmtId="43" fontId="13" fillId="0" borderId="9" xfId="1" applyFont="1" applyFill="1" applyBorder="1"/>
    <xf numFmtId="0" fontId="13" fillId="0" borderId="13" xfId="0" applyFont="1" applyFill="1" applyBorder="1" applyAlignment="1">
      <alignment horizontal="left" vertical="top" wrapText="1" indent="2"/>
    </xf>
    <xf numFmtId="0" fontId="13" fillId="0" borderId="13" xfId="0" applyFont="1" applyFill="1" applyBorder="1" applyAlignment="1">
      <alignment horizontal="left" vertical="top" wrapText="1" indent="1"/>
    </xf>
    <xf numFmtId="1" fontId="10" fillId="0" borderId="13" xfId="0" applyNumberFormat="1" applyFont="1" applyFill="1" applyBorder="1" applyAlignment="1">
      <alignment horizontal="center" vertical="top" shrinkToFit="1"/>
    </xf>
    <xf numFmtId="4" fontId="10" fillId="0" borderId="13" xfId="0" applyNumberFormat="1" applyFont="1" applyFill="1" applyBorder="1" applyAlignment="1">
      <alignment horizontal="right" vertical="top" shrinkToFit="1"/>
    </xf>
    <xf numFmtId="9" fontId="10" fillId="0" borderId="13" xfId="0" applyNumberFormat="1" applyFont="1" applyFill="1" applyBorder="1" applyAlignment="1">
      <alignment horizontal="center" vertical="top" shrinkToFit="1"/>
    </xf>
    <xf numFmtId="4" fontId="13" fillId="0" borderId="9" xfId="0" applyNumberFormat="1" applyFont="1" applyFill="1" applyBorder="1"/>
    <xf numFmtId="9" fontId="13" fillId="0" borderId="9" xfId="0" applyNumberFormat="1" applyFont="1" applyFill="1" applyBorder="1"/>
    <xf numFmtId="3" fontId="10" fillId="0" borderId="13" xfId="0" applyNumberFormat="1" applyFont="1" applyFill="1" applyBorder="1" applyAlignment="1">
      <alignment horizontal="center" vertical="top" shrinkToFit="1"/>
    </xf>
    <xf numFmtId="164" fontId="13" fillId="0" borderId="9" xfId="0" applyNumberFormat="1" applyFont="1" applyFill="1" applyBorder="1"/>
    <xf numFmtId="43" fontId="14" fillId="0" borderId="0" xfId="1" applyFont="1" applyFill="1"/>
    <xf numFmtId="8" fontId="13" fillId="4" borderId="0" xfId="1" applyNumberFormat="1" applyFont="1" applyFill="1"/>
    <xf numFmtId="9" fontId="13" fillId="4" borderId="0" xfId="1" applyNumberFormat="1" applyFont="1" applyFill="1"/>
    <xf numFmtId="0" fontId="18" fillId="8" borderId="0" xfId="0" applyFont="1" applyFill="1"/>
    <xf numFmtId="0" fontId="13" fillId="8" borderId="0" xfId="0" applyFont="1" applyFill="1"/>
    <xf numFmtId="43" fontId="4" fillId="3" borderId="0" xfId="1" applyFont="1" applyFill="1" applyBorder="1"/>
    <xf numFmtId="0" fontId="0" fillId="8" borderId="0" xfId="0" applyFill="1"/>
    <xf numFmtId="49" fontId="0" fillId="0" borderId="0" xfId="0" applyNumberFormat="1"/>
    <xf numFmtId="0" fontId="17" fillId="0" borderId="0" xfId="0" applyFont="1" applyAlignment="1">
      <alignment horizontal="center"/>
    </xf>
    <xf numFmtId="49" fontId="11" fillId="0" borderId="0" xfId="0" applyNumberFormat="1" applyFont="1"/>
    <xf numFmtId="0" fontId="19" fillId="0" borderId="0" xfId="0" applyFont="1"/>
    <xf numFmtId="0" fontId="5" fillId="0" borderId="10" xfId="0" applyFont="1" applyFill="1" applyBorder="1" applyAlignment="1">
      <alignment horizontal="left" vertical="top" wrapText="1" indent="12"/>
    </xf>
    <xf numFmtId="0" fontId="5" fillId="0" borderId="11" xfId="0" applyFont="1" applyFill="1" applyBorder="1" applyAlignment="1">
      <alignment horizontal="left" vertical="top" wrapText="1" indent="12"/>
    </xf>
    <xf numFmtId="0" fontId="5" fillId="0" borderId="12" xfId="0" applyFont="1" applyFill="1" applyBorder="1" applyAlignment="1">
      <alignment horizontal="left" vertical="top" wrapText="1" indent="12"/>
    </xf>
    <xf numFmtId="0" fontId="5" fillId="5" borderId="10" xfId="0" applyFont="1" applyFill="1" applyBorder="1" applyAlignment="1">
      <alignment horizontal="left" vertical="top" wrapText="1" indent="12"/>
    </xf>
    <xf numFmtId="0" fontId="5" fillId="5" borderId="11" xfId="0" applyFont="1" applyFill="1" applyBorder="1" applyAlignment="1">
      <alignment horizontal="left" vertical="top" wrapText="1" indent="12"/>
    </xf>
    <xf numFmtId="0" fontId="5" fillId="5" borderId="12" xfId="0" applyFont="1" applyFill="1" applyBorder="1" applyAlignment="1">
      <alignment horizontal="left" vertical="top" wrapText="1" indent="12"/>
    </xf>
    <xf numFmtId="0" fontId="11" fillId="2" borderId="0" xfId="0" applyFont="1" applyFill="1"/>
    <xf numFmtId="0" fontId="0" fillId="2" borderId="0" xfId="0" applyFill="1"/>
    <xf numFmtId="0" fontId="11" fillId="0" borderId="14" xfId="0" applyFont="1" applyBorder="1" applyAlignment="1">
      <alignment horizontal="center" vertical="center" wrapText="1"/>
    </xf>
    <xf numFmtId="0" fontId="11" fillId="0" borderId="15" xfId="0" applyFont="1" applyBorder="1" applyAlignment="1">
      <alignment horizontal="center" vertical="center" wrapText="1"/>
    </xf>
    <xf numFmtId="0" fontId="11" fillId="0" borderId="0" xfId="0" applyFont="1" applyAlignment="1">
      <alignment horizontal="center" vertical="center" wrapText="1"/>
    </xf>
    <xf numFmtId="14" fontId="0" fillId="0" borderId="14" xfId="0" applyNumberFormat="1" applyBorder="1"/>
    <xf numFmtId="0" fontId="0" fillId="0" borderId="14" xfId="0" applyBorder="1"/>
    <xf numFmtId="43" fontId="0" fillId="0" borderId="14" xfId="1" applyFont="1" applyBorder="1"/>
    <xf numFmtId="43" fontId="0" fillId="0" borderId="14" xfId="0" applyNumberFormat="1" applyBorder="1"/>
    <xf numFmtId="43" fontId="0" fillId="0" borderId="9" xfId="0" applyNumberFormat="1" applyBorder="1"/>
    <xf numFmtId="43" fontId="11" fillId="0" borderId="14" xfId="0" applyNumberFormat="1" applyFont="1" applyBorder="1"/>
    <xf numFmtId="43" fontId="0" fillId="2" borderId="0" xfId="0" applyNumberFormat="1" applyFill="1"/>
    <xf numFmtId="0" fontId="0" fillId="0" borderId="0" xfId="0" quotePrefix="1"/>
    <xf numFmtId="0" fontId="11" fillId="9" borderId="0" xfId="0" applyFont="1" applyFill="1"/>
    <xf numFmtId="0" fontId="0" fillId="9" borderId="0" xfId="0" applyFill="1"/>
    <xf numFmtId="43" fontId="11" fillId="9" borderId="0" xfId="0" applyNumberFormat="1" applyFont="1" applyFill="1"/>
    <xf numFmtId="0" fontId="11" fillId="2" borderId="14" xfId="0" applyFont="1" applyFill="1" applyBorder="1" applyAlignment="1">
      <alignment horizontal="center" vertical="center" wrapText="1"/>
    </xf>
    <xf numFmtId="0" fontId="0" fillId="0" borderId="14" xfId="0" applyBorder="1" applyAlignment="1">
      <alignment horizontal="left" indent="1"/>
    </xf>
    <xf numFmtId="0" fontId="0" fillId="2" borderId="14" xfId="0" applyFill="1" applyBorder="1"/>
    <xf numFmtId="43" fontId="0" fillId="2" borderId="14" xfId="1" applyFont="1" applyFill="1" applyBorder="1"/>
    <xf numFmtId="43" fontId="0" fillId="2" borderId="14" xfId="0" applyNumberFormat="1" applyFill="1" applyBorder="1"/>
    <xf numFmtId="0" fontId="12" fillId="0" borderId="0" xfId="0" applyFont="1"/>
    <xf numFmtId="0" fontId="0" fillId="0" borderId="0" xfId="0" applyFont="1"/>
    <xf numFmtId="0" fontId="0" fillId="2" borderId="0" xfId="0" applyFont="1" applyFill="1"/>
    <xf numFmtId="14" fontId="0" fillId="0" borderId="14" xfId="0" applyNumberFormat="1" applyFont="1" applyBorder="1"/>
    <xf numFmtId="0" fontId="0" fillId="0" borderId="14" xfId="0" applyFont="1" applyBorder="1"/>
    <xf numFmtId="43" fontId="0" fillId="0" borderId="14" xfId="0" applyNumberFormat="1" applyFont="1" applyBorder="1"/>
    <xf numFmtId="43" fontId="0" fillId="0" borderId="0" xfId="0" applyNumberFormat="1" applyFont="1"/>
    <xf numFmtId="43" fontId="0" fillId="0" borderId="9" xfId="0" applyNumberFormat="1" applyFont="1" applyBorder="1"/>
    <xf numFmtId="43" fontId="0" fillId="2" borderId="0" xfId="0" applyNumberFormat="1" applyFont="1" applyFill="1"/>
    <xf numFmtId="0" fontId="0" fillId="0" borderId="0" xfId="0" quotePrefix="1" applyFont="1"/>
    <xf numFmtId="0" fontId="0" fillId="9" borderId="0" xfId="0" applyFont="1" applyFill="1"/>
    <xf numFmtId="0" fontId="0" fillId="0" borderId="14" xfId="0" applyFont="1" applyBorder="1" applyAlignment="1">
      <alignment horizontal="left" indent="1"/>
    </xf>
    <xf numFmtId="0" fontId="0" fillId="2" borderId="14" xfId="0" applyFont="1" applyFill="1" applyBorder="1"/>
    <xf numFmtId="43" fontId="0" fillId="2" borderId="14" xfId="0" applyNumberFormat="1" applyFont="1" applyFill="1" applyBorder="1"/>
    <xf numFmtId="0" fontId="11" fillId="0" borderId="0" xfId="0" applyFont="1" applyAlignment="1">
      <alignment horizontal="center"/>
    </xf>
    <xf numFmtId="0" fontId="13" fillId="0" borderId="0" xfId="0" applyFont="1"/>
    <xf numFmtId="43" fontId="13" fillId="0" borderId="0" xfId="0" applyNumberFormat="1" applyFont="1"/>
    <xf numFmtId="43" fontId="13" fillId="0" borderId="9" xfId="0" applyNumberFormat="1" applyFont="1" applyBorder="1"/>
    <xf numFmtId="43" fontId="13" fillId="2" borderId="0" xfId="0" applyNumberFormat="1" applyFont="1" applyFill="1"/>
    <xf numFmtId="43" fontId="13" fillId="0" borderId="14" xfId="0" applyNumberFormat="1" applyFont="1" applyBorder="1"/>
    <xf numFmtId="0" fontId="13" fillId="0" borderId="14" xfId="0" applyFont="1" applyBorder="1"/>
  </cellXfs>
  <cellStyles count="3">
    <cellStyle name="Millares" xfId="1" builtinId="3"/>
    <cellStyle name="Normal" xfId="0" builtinId="0"/>
    <cellStyle name="Porcentaje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28</xdr:row>
      <xdr:rowOff>0</xdr:rowOff>
    </xdr:from>
    <xdr:to>
      <xdr:col>21</xdr:col>
      <xdr:colOff>8286</xdr:colOff>
      <xdr:row>43</xdr:row>
      <xdr:rowOff>37714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249DE93-2F63-51E9-B9BE-4FF0CBE6C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8353" y="5961529"/>
          <a:ext cx="9914286" cy="308571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44</xdr:row>
      <xdr:rowOff>0</xdr:rowOff>
    </xdr:from>
    <xdr:to>
      <xdr:col>20</xdr:col>
      <xdr:colOff>760762</xdr:colOff>
      <xdr:row>66</xdr:row>
      <xdr:rowOff>66143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5AE898C-1FAA-4504-CC41-1D6CA4C2C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68353" y="9200029"/>
          <a:ext cx="9904762" cy="425714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67</xdr:row>
      <xdr:rowOff>0</xdr:rowOff>
    </xdr:from>
    <xdr:to>
      <xdr:col>20</xdr:col>
      <xdr:colOff>732190</xdr:colOff>
      <xdr:row>90</xdr:row>
      <xdr:rowOff>142309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E80637C-C654-3FC0-5A15-957CC0E1C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68353" y="13581529"/>
          <a:ext cx="9876190" cy="452380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28</xdr:row>
      <xdr:rowOff>0</xdr:rowOff>
    </xdr:from>
    <xdr:to>
      <xdr:col>21</xdr:col>
      <xdr:colOff>122571</xdr:colOff>
      <xdr:row>43</xdr:row>
      <xdr:rowOff>161524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F3D826C-D347-E5DB-3942-BA7A727E3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8353" y="5961529"/>
          <a:ext cx="10028571" cy="3209524"/>
        </a:xfrm>
        <a:prstGeom prst="rect">
          <a:avLst/>
        </a:prstGeom>
      </xdr:spPr>
    </xdr:pic>
    <xdr:clientData/>
  </xdr:twoCellAnchor>
  <xdr:twoCellAnchor editAs="oneCell">
    <xdr:from>
      <xdr:col>8</xdr:col>
      <xdr:colOff>123265</xdr:colOff>
      <xdr:row>44</xdr:row>
      <xdr:rowOff>179294</xdr:rowOff>
    </xdr:from>
    <xdr:to>
      <xdr:col>21</xdr:col>
      <xdr:colOff>55360</xdr:colOff>
      <xdr:row>66</xdr:row>
      <xdr:rowOff>169246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ED60A6C-B079-F761-1F1E-D9BD611C5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91618" y="9379323"/>
          <a:ext cx="9838095" cy="418095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68</xdr:row>
      <xdr:rowOff>0</xdr:rowOff>
    </xdr:from>
    <xdr:to>
      <xdr:col>21</xdr:col>
      <xdr:colOff>17809</xdr:colOff>
      <xdr:row>91</xdr:row>
      <xdr:rowOff>132786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80236E14-6A74-925A-4ABE-23DC27A9F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68353" y="13772029"/>
          <a:ext cx="9923809" cy="45142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36</xdr:row>
      <xdr:rowOff>0</xdr:rowOff>
    </xdr:from>
    <xdr:to>
      <xdr:col>20</xdr:col>
      <xdr:colOff>701368</xdr:colOff>
      <xdr:row>53</xdr:row>
      <xdr:rowOff>9119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5074B04-653D-B29D-BD6A-8998AC304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8353" y="7676029"/>
          <a:ext cx="9923809" cy="324761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54</xdr:row>
      <xdr:rowOff>0</xdr:rowOff>
    </xdr:from>
    <xdr:to>
      <xdr:col>20</xdr:col>
      <xdr:colOff>710892</xdr:colOff>
      <xdr:row>75</xdr:row>
      <xdr:rowOff>180452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03FEA5A-9BB5-763D-B044-71541B61D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68353" y="11105029"/>
          <a:ext cx="9933333" cy="418095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77</xdr:row>
      <xdr:rowOff>0</xdr:rowOff>
    </xdr:from>
    <xdr:to>
      <xdr:col>20</xdr:col>
      <xdr:colOff>539464</xdr:colOff>
      <xdr:row>100</xdr:row>
      <xdr:rowOff>151833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6ADF257-B93E-7088-8537-7CAEFA756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68353" y="15486529"/>
          <a:ext cx="9761905" cy="453333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36</xdr:row>
      <xdr:rowOff>0</xdr:rowOff>
    </xdr:from>
    <xdr:to>
      <xdr:col>20</xdr:col>
      <xdr:colOff>691845</xdr:colOff>
      <xdr:row>52</xdr:row>
      <xdr:rowOff>85333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D97612F-461B-B3E2-3369-2C8C1A17B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8353" y="7676029"/>
          <a:ext cx="9914286" cy="313333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53</xdr:row>
      <xdr:rowOff>0</xdr:rowOff>
    </xdr:from>
    <xdr:to>
      <xdr:col>20</xdr:col>
      <xdr:colOff>653749</xdr:colOff>
      <xdr:row>74</xdr:row>
      <xdr:rowOff>180452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89C2A14-B64C-C1D3-368B-5568BCBD4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68353" y="10914529"/>
          <a:ext cx="9876190" cy="418095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76</xdr:row>
      <xdr:rowOff>0</xdr:rowOff>
    </xdr:from>
    <xdr:to>
      <xdr:col>20</xdr:col>
      <xdr:colOff>663273</xdr:colOff>
      <xdr:row>99</xdr:row>
      <xdr:rowOff>37548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4AC0D56-9557-FD4B-F20D-76C244B99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68353" y="15296029"/>
          <a:ext cx="9885714" cy="441904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TR%2013%20IVA%20(1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1"/>
      <sheetName val="Hoja2"/>
      <sheetName val="Hoja3"/>
      <sheetName val="Hoja4"/>
      <sheetName val="Hoja5"/>
    </sheetNames>
    <sheetDataSet>
      <sheetData sheetId="0" refreshError="1"/>
      <sheetData sheetId="1">
        <row r="23">
          <cell r="R23">
            <v>38.159999999999997</v>
          </cell>
        </row>
        <row r="24">
          <cell r="R24">
            <v>94.08</v>
          </cell>
        </row>
      </sheetData>
      <sheetData sheetId="2">
        <row r="24">
          <cell r="Q24">
            <v>151.80000000000001</v>
          </cell>
        </row>
      </sheetData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3F9628-1C43-4C83-8AD4-B5D8BECB038A}">
  <dimension ref="A2:E13"/>
  <sheetViews>
    <sheetView workbookViewId="0">
      <selection activeCell="B10" sqref="B10"/>
    </sheetView>
  </sheetViews>
  <sheetFormatPr baseColWidth="10" defaultRowHeight="15"/>
  <cols>
    <col min="1" max="1" width="14" style="107" bestFit="1" customWidth="1"/>
    <col min="2" max="2" width="62.42578125" bestFit="1" customWidth="1"/>
    <col min="3" max="3" width="14.140625" customWidth="1"/>
    <col min="5" max="5" width="26.7109375" bestFit="1" customWidth="1"/>
  </cols>
  <sheetData>
    <row r="2" spans="1:5" ht="15.75">
      <c r="B2" s="108" t="s">
        <v>60</v>
      </c>
    </row>
    <row r="3" spans="1:5">
      <c r="A3" s="109" t="s">
        <v>61</v>
      </c>
      <c r="B3" s="36" t="s">
        <v>62</v>
      </c>
      <c r="C3" s="36" t="s">
        <v>63</v>
      </c>
      <c r="D3" s="36" t="s">
        <v>64</v>
      </c>
      <c r="E3" s="36" t="s">
        <v>65</v>
      </c>
    </row>
    <row r="4" spans="1:5">
      <c r="A4" s="107" t="s">
        <v>66</v>
      </c>
      <c r="B4" t="s">
        <v>67</v>
      </c>
      <c r="C4" t="s">
        <v>68</v>
      </c>
      <c r="D4" t="s">
        <v>69</v>
      </c>
      <c r="E4" t="s">
        <v>70</v>
      </c>
    </row>
    <row r="5" spans="1:5">
      <c r="A5" s="107" t="s">
        <v>71</v>
      </c>
      <c r="B5" t="s">
        <v>72</v>
      </c>
      <c r="C5" t="s">
        <v>73</v>
      </c>
      <c r="D5" t="s">
        <v>69</v>
      </c>
      <c r="E5" t="s">
        <v>70</v>
      </c>
    </row>
    <row r="6" spans="1:5">
      <c r="A6" s="107" t="s">
        <v>74</v>
      </c>
      <c r="B6" t="s">
        <v>75</v>
      </c>
      <c r="C6" s="110" t="s">
        <v>76</v>
      </c>
      <c r="D6" t="s">
        <v>69</v>
      </c>
      <c r="E6" t="s">
        <v>70</v>
      </c>
    </row>
    <row r="7" spans="1:5">
      <c r="A7" s="107" t="s">
        <v>77</v>
      </c>
      <c r="B7" t="s">
        <v>78</v>
      </c>
      <c r="C7" t="s">
        <v>73</v>
      </c>
      <c r="D7" t="s">
        <v>69</v>
      </c>
      <c r="E7" t="s">
        <v>70</v>
      </c>
    </row>
    <row r="8" spans="1:5">
      <c r="A8" s="107" t="s">
        <v>79</v>
      </c>
      <c r="B8" t="s">
        <v>80</v>
      </c>
      <c r="C8" t="s">
        <v>73</v>
      </c>
      <c r="D8" t="s">
        <v>81</v>
      </c>
      <c r="E8" t="s">
        <v>82</v>
      </c>
    </row>
    <row r="9" spans="1:5">
      <c r="A9" s="107" t="s">
        <v>83</v>
      </c>
      <c r="B9" t="s">
        <v>84</v>
      </c>
      <c r="C9" t="s">
        <v>73</v>
      </c>
      <c r="D9" t="s">
        <v>69</v>
      </c>
      <c r="E9" t="s">
        <v>70</v>
      </c>
    </row>
    <row r="10" spans="1:5">
      <c r="A10" s="107" t="s">
        <v>85</v>
      </c>
      <c r="B10" t="s">
        <v>86</v>
      </c>
      <c r="C10" t="s">
        <v>73</v>
      </c>
      <c r="D10" t="s">
        <v>69</v>
      </c>
      <c r="E10" t="s">
        <v>70</v>
      </c>
    </row>
    <row r="11" spans="1:5">
      <c r="A11" s="107" t="s">
        <v>87</v>
      </c>
      <c r="B11" t="s">
        <v>88</v>
      </c>
      <c r="C11" t="s">
        <v>68</v>
      </c>
      <c r="D11" t="s">
        <v>69</v>
      </c>
      <c r="E11" t="s">
        <v>70</v>
      </c>
    </row>
    <row r="12" spans="1:5">
      <c r="A12" s="107" t="s">
        <v>89</v>
      </c>
      <c r="B12" t="s">
        <v>90</v>
      </c>
      <c r="C12" t="s">
        <v>68</v>
      </c>
      <c r="D12" t="s">
        <v>69</v>
      </c>
      <c r="E12" t="s">
        <v>70</v>
      </c>
    </row>
    <row r="13" spans="1:5">
      <c r="A13" s="107" t="s">
        <v>91</v>
      </c>
      <c r="B13" t="s">
        <v>92</v>
      </c>
      <c r="C13" t="s">
        <v>68</v>
      </c>
      <c r="D13" t="s">
        <v>69</v>
      </c>
      <c r="E13" t="s">
        <v>70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0DB90E-EBF7-4746-94A6-2A8FAA726C4B}">
  <dimension ref="A2:R39"/>
  <sheetViews>
    <sheetView topLeftCell="A7" zoomScale="85" zoomScaleNormal="85" workbookViewId="0">
      <selection activeCell="E24" sqref="E24"/>
    </sheetView>
  </sheetViews>
  <sheetFormatPr baseColWidth="10" defaultRowHeight="15"/>
  <cols>
    <col min="2" max="2" width="19.42578125" customWidth="1"/>
    <col min="3" max="3" width="13.42578125" customWidth="1"/>
    <col min="11" max="11" width="12.5703125" customWidth="1"/>
    <col min="18" max="18" width="11.42578125" style="153"/>
  </cols>
  <sheetData>
    <row r="2" spans="1:18">
      <c r="A2" s="36" t="s">
        <v>93</v>
      </c>
    </row>
    <row r="4" spans="1:18">
      <c r="A4" t="s">
        <v>94</v>
      </c>
      <c r="C4" t="s">
        <v>95</v>
      </c>
    </row>
    <row r="5" spans="1:18">
      <c r="A5" t="s">
        <v>96</v>
      </c>
      <c r="C5" t="s">
        <v>97</v>
      </c>
      <c r="E5" t="s">
        <v>98</v>
      </c>
    </row>
    <row r="7" spans="1:18">
      <c r="A7" t="s">
        <v>99</v>
      </c>
    </row>
    <row r="9" spans="1:18">
      <c r="A9" s="117" t="s">
        <v>100</v>
      </c>
      <c r="B9" s="118"/>
      <c r="C9" s="118"/>
      <c r="D9" s="118"/>
      <c r="E9" s="118"/>
      <c r="F9" s="118"/>
      <c r="G9" s="118"/>
      <c r="H9" s="118"/>
      <c r="I9" s="118"/>
      <c r="J9" s="118"/>
      <c r="K9" s="118"/>
    </row>
    <row r="10" spans="1:18" ht="30">
      <c r="A10" s="119" t="s">
        <v>101</v>
      </c>
      <c r="B10" s="119" t="s">
        <v>102</v>
      </c>
      <c r="C10" s="119" t="s">
        <v>103</v>
      </c>
      <c r="D10" s="119" t="s">
        <v>104</v>
      </c>
      <c r="E10" s="119" t="s">
        <v>105</v>
      </c>
      <c r="F10" s="119" t="s">
        <v>106</v>
      </c>
      <c r="G10" s="119" t="s">
        <v>107</v>
      </c>
      <c r="H10" s="119" t="s">
        <v>108</v>
      </c>
      <c r="J10" s="119" t="s">
        <v>109</v>
      </c>
      <c r="K10" s="119" t="s">
        <v>110</v>
      </c>
      <c r="L10" s="119" t="s">
        <v>33</v>
      </c>
      <c r="N10" s="120" t="s">
        <v>111</v>
      </c>
      <c r="O10" s="121"/>
      <c r="P10" s="121"/>
    </row>
    <row r="11" spans="1:18">
      <c r="A11" s="122">
        <v>43863</v>
      </c>
      <c r="B11" s="123" t="s">
        <v>112</v>
      </c>
      <c r="C11" s="123" t="s">
        <v>113</v>
      </c>
      <c r="D11" s="124">
        <v>5900</v>
      </c>
      <c r="E11" s="124"/>
      <c r="F11" s="124">
        <f>+D11*0.12</f>
        <v>708</v>
      </c>
      <c r="G11" s="124">
        <f>+D11+F11</f>
        <v>6608</v>
      </c>
      <c r="H11" s="123" t="s">
        <v>114</v>
      </c>
      <c r="J11" s="123">
        <f>+F11*0.3</f>
        <v>212.4</v>
      </c>
      <c r="K11" s="124">
        <f>+D11*2.75%</f>
        <v>162.25</v>
      </c>
      <c r="L11" s="125">
        <f>+J11+K11</f>
        <v>374.65</v>
      </c>
      <c r="N11" t="s">
        <v>115</v>
      </c>
      <c r="R11" s="153">
        <v>0</v>
      </c>
    </row>
    <row r="12" spans="1:18">
      <c r="A12" s="122">
        <v>43956</v>
      </c>
      <c r="B12" s="123" t="s">
        <v>112</v>
      </c>
      <c r="C12" s="123" t="s">
        <v>116</v>
      </c>
      <c r="D12" s="124">
        <v>450</v>
      </c>
      <c r="E12" s="124"/>
      <c r="F12" s="124">
        <f>+D12*0.12</f>
        <v>54</v>
      </c>
      <c r="G12" s="124">
        <f>+D12+F12</f>
        <v>504</v>
      </c>
      <c r="H12" s="123" t="s">
        <v>114</v>
      </c>
      <c r="J12" s="123"/>
      <c r="K12" s="124"/>
      <c r="L12" s="125"/>
      <c r="N12" t="s">
        <v>117</v>
      </c>
      <c r="R12" s="154"/>
    </row>
    <row r="13" spans="1:18">
      <c r="A13" s="122">
        <v>43961</v>
      </c>
      <c r="B13" s="123" t="s">
        <v>112</v>
      </c>
      <c r="C13" s="123" t="s">
        <v>118</v>
      </c>
      <c r="D13" s="124">
        <v>762</v>
      </c>
      <c r="E13" s="124"/>
      <c r="F13" s="124">
        <f>+D13*0.12</f>
        <v>91.44</v>
      </c>
      <c r="G13" s="124">
        <f>+D13+F13</f>
        <v>853.44</v>
      </c>
      <c r="H13" s="123" t="s">
        <v>114</v>
      </c>
      <c r="J13" s="124"/>
      <c r="K13" s="124"/>
      <c r="L13" s="124"/>
      <c r="N13" t="s">
        <v>119</v>
      </c>
      <c r="R13" s="155"/>
    </row>
    <row r="14" spans="1:18">
      <c r="C14" s="36"/>
      <c r="D14" s="127">
        <f>SUM(D11:D13)</f>
        <v>7112</v>
      </c>
      <c r="E14" s="127">
        <f>SUM(E11:E13)</f>
        <v>0</v>
      </c>
      <c r="F14" s="127">
        <f>SUM(F11:F13)</f>
        <v>853.44</v>
      </c>
      <c r="G14" s="127">
        <f>SUM(G11:G13)</f>
        <v>7965.4400000000005</v>
      </c>
      <c r="H14" s="123"/>
      <c r="J14" s="127">
        <f>SUM(J11:J13)</f>
        <v>212.4</v>
      </c>
      <c r="K14" s="127">
        <f>SUM(K11:K13)</f>
        <v>162.25</v>
      </c>
      <c r="L14" s="127">
        <f>SUM(L11:L13)</f>
        <v>374.65</v>
      </c>
      <c r="N14" t="s">
        <v>120</v>
      </c>
      <c r="R14" s="156">
        <f>+R11+R12-R13</f>
        <v>0</v>
      </c>
    </row>
    <row r="15" spans="1:18">
      <c r="A15" s="36" t="s">
        <v>121</v>
      </c>
      <c r="N15" t="s">
        <v>122</v>
      </c>
    </row>
    <row r="16" spans="1:18" ht="30">
      <c r="A16" s="119" t="s">
        <v>101</v>
      </c>
      <c r="B16" s="119" t="s">
        <v>102</v>
      </c>
      <c r="C16" s="119" t="s">
        <v>103</v>
      </c>
      <c r="D16" s="119" t="s">
        <v>104</v>
      </c>
      <c r="E16" s="119" t="s">
        <v>105</v>
      </c>
      <c r="F16" s="119" t="s">
        <v>106</v>
      </c>
      <c r="G16" s="119" t="s">
        <v>107</v>
      </c>
      <c r="N16" t="s">
        <v>123</v>
      </c>
    </row>
    <row r="17" spans="1:18">
      <c r="A17" s="122"/>
      <c r="B17" s="123"/>
      <c r="C17" s="123"/>
      <c r="D17" s="124">
        <v>450</v>
      </c>
      <c r="E17" s="124"/>
      <c r="F17" s="124">
        <f>+D17*0.12</f>
        <v>54</v>
      </c>
      <c r="G17" s="124">
        <f>+D17+F17</f>
        <v>504</v>
      </c>
      <c r="J17" s="129" t="s">
        <v>124</v>
      </c>
      <c r="N17" t="s">
        <v>125</v>
      </c>
    </row>
    <row r="18" spans="1:18">
      <c r="C18" s="36" t="s">
        <v>33</v>
      </c>
      <c r="D18" s="127">
        <f>+D17</f>
        <v>450</v>
      </c>
      <c r="E18" s="127">
        <f>+E17</f>
        <v>0</v>
      </c>
      <c r="F18" s="127">
        <f>+F17</f>
        <v>54</v>
      </c>
      <c r="G18" s="127">
        <f>+G17</f>
        <v>504</v>
      </c>
      <c r="J18" s="129" t="s">
        <v>126</v>
      </c>
      <c r="N18" t="s">
        <v>127</v>
      </c>
      <c r="R18" s="155"/>
    </row>
    <row r="19" spans="1:18">
      <c r="A19" s="130" t="s">
        <v>128</v>
      </c>
      <c r="B19" s="131"/>
      <c r="C19" s="131"/>
      <c r="D19" s="132">
        <f>+D14-D18</f>
        <v>6662</v>
      </c>
      <c r="E19" s="132">
        <f>+E14-E18</f>
        <v>0</v>
      </c>
      <c r="F19" s="132">
        <f>+F14-F18</f>
        <v>799.44</v>
      </c>
      <c r="G19" s="132">
        <f>+G14-G18</f>
        <v>7461.4400000000005</v>
      </c>
    </row>
    <row r="20" spans="1:18">
      <c r="A20" s="36" t="s">
        <v>129</v>
      </c>
      <c r="N20" t="s">
        <v>130</v>
      </c>
      <c r="R20" s="156">
        <f>+R14-R16-R17-R18</f>
        <v>0</v>
      </c>
    </row>
    <row r="21" spans="1:18">
      <c r="A21" s="117" t="s">
        <v>131</v>
      </c>
      <c r="B21" s="118"/>
      <c r="C21" s="118"/>
      <c r="D21" s="118"/>
      <c r="E21" s="118"/>
      <c r="F21" s="118"/>
      <c r="G21" s="118"/>
      <c r="H21" s="118"/>
      <c r="I21" s="118"/>
      <c r="J21" s="118"/>
      <c r="K21" s="118"/>
      <c r="N21" t="s">
        <v>122</v>
      </c>
    </row>
    <row r="22" spans="1:18" ht="30">
      <c r="A22" s="119" t="s">
        <v>101</v>
      </c>
      <c r="B22" s="119" t="s">
        <v>102</v>
      </c>
      <c r="C22" s="119" t="s">
        <v>103</v>
      </c>
      <c r="D22" s="119" t="s">
        <v>104</v>
      </c>
      <c r="E22" s="119" t="s">
        <v>105</v>
      </c>
      <c r="F22" s="119" t="s">
        <v>106</v>
      </c>
      <c r="G22" s="119" t="s">
        <v>107</v>
      </c>
      <c r="I22" s="133" t="s">
        <v>109</v>
      </c>
      <c r="J22" s="133" t="s">
        <v>110</v>
      </c>
      <c r="K22" s="133" t="s">
        <v>33</v>
      </c>
    </row>
    <row r="23" spans="1:18" ht="16.5" customHeight="1">
      <c r="A23" s="122">
        <v>44682</v>
      </c>
      <c r="B23" s="123" t="s">
        <v>112</v>
      </c>
      <c r="C23" s="134" t="s">
        <v>132</v>
      </c>
      <c r="D23" s="124">
        <v>525</v>
      </c>
      <c r="E23" s="124"/>
      <c r="F23" s="124">
        <f>+D23*0.12</f>
        <v>63</v>
      </c>
      <c r="G23" s="124">
        <f>+D23+E23+F23</f>
        <v>588</v>
      </c>
      <c r="I23" s="135"/>
      <c r="J23" s="136"/>
      <c r="K23" s="137"/>
      <c r="O23" t="s">
        <v>139</v>
      </c>
    </row>
    <row r="24" spans="1:18">
      <c r="A24" s="122">
        <v>44683</v>
      </c>
      <c r="B24" s="123" t="s">
        <v>112</v>
      </c>
      <c r="C24" s="134" t="s">
        <v>133</v>
      </c>
      <c r="D24" s="124">
        <v>700</v>
      </c>
      <c r="E24" s="124"/>
      <c r="F24" s="124">
        <f>+D24*0.12</f>
        <v>84</v>
      </c>
      <c r="G24" s="124">
        <f>+D24+E24+F24</f>
        <v>784</v>
      </c>
      <c r="I24" s="135"/>
      <c r="J24" s="136"/>
      <c r="K24" s="137"/>
      <c r="O24" t="s">
        <v>140</v>
      </c>
    </row>
    <row r="25" spans="1:18">
      <c r="A25" s="122"/>
      <c r="B25" s="123"/>
      <c r="C25" s="134"/>
      <c r="D25" s="124"/>
      <c r="E25" s="124"/>
      <c r="F25" s="124"/>
      <c r="G25" s="124">
        <f>+D25+E25+F25</f>
        <v>0</v>
      </c>
      <c r="I25" s="136"/>
      <c r="J25" s="136"/>
      <c r="K25" s="136"/>
    </row>
    <row r="26" spans="1:18" ht="17.25" customHeight="1">
      <c r="C26" s="36" t="s">
        <v>33</v>
      </c>
      <c r="D26" s="127">
        <f>SUM(D23:D25)</f>
        <v>1225</v>
      </c>
      <c r="E26" s="127">
        <f>SUM(E23:E25)</f>
        <v>0</v>
      </c>
      <c r="F26" s="127">
        <f>SUM(F23:F25)</f>
        <v>147</v>
      </c>
      <c r="G26" s="127">
        <f>SUM(G23:G25)</f>
        <v>1372</v>
      </c>
      <c r="I26" s="138" t="s">
        <v>134</v>
      </c>
    </row>
    <row r="27" spans="1:18" ht="15" customHeight="1">
      <c r="A27" s="36" t="s">
        <v>141</v>
      </c>
      <c r="L27" s="152" t="s">
        <v>144</v>
      </c>
      <c r="M27" s="152" t="s">
        <v>145</v>
      </c>
      <c r="N27" s="152" t="s">
        <v>144</v>
      </c>
      <c r="O27" s="152" t="s">
        <v>145</v>
      </c>
      <c r="P27" s="152" t="s">
        <v>144</v>
      </c>
      <c r="Q27" s="152" t="s">
        <v>145</v>
      </c>
    </row>
    <row r="28" spans="1:18">
      <c r="K28" s="123" t="s">
        <v>146</v>
      </c>
      <c r="L28" s="123">
        <v>401</v>
      </c>
      <c r="M28" s="157"/>
      <c r="N28" s="158">
        <v>411</v>
      </c>
      <c r="O28" s="157"/>
      <c r="P28" s="158">
        <v>421</v>
      </c>
      <c r="Q28" s="157"/>
    </row>
    <row r="29" spans="1:18" ht="30">
      <c r="A29" s="119" t="s">
        <v>101</v>
      </c>
      <c r="B29" s="119" t="s">
        <v>102</v>
      </c>
      <c r="C29" s="119" t="s">
        <v>103</v>
      </c>
      <c r="D29" s="119" t="s">
        <v>104</v>
      </c>
      <c r="E29" s="119" t="s">
        <v>105</v>
      </c>
      <c r="F29" s="119" t="s">
        <v>106</v>
      </c>
      <c r="G29" s="119" t="s">
        <v>107</v>
      </c>
      <c r="K29" s="123" t="s">
        <v>147</v>
      </c>
      <c r="L29" s="123">
        <v>500</v>
      </c>
      <c r="M29" s="157"/>
      <c r="N29" s="158">
        <v>510</v>
      </c>
      <c r="O29" s="157"/>
      <c r="P29" s="158">
        <v>520</v>
      </c>
      <c r="Q29" s="157"/>
    </row>
    <row r="30" spans="1:18" ht="15" customHeight="1">
      <c r="A30" s="122"/>
      <c r="B30" s="123"/>
      <c r="C30" s="123"/>
      <c r="D30" s="124">
        <v>125</v>
      </c>
      <c r="E30" s="124"/>
      <c r="F30" s="124">
        <f>+D30*0.12</f>
        <v>15</v>
      </c>
      <c r="G30" s="124">
        <f>+D30+E30+F30</f>
        <v>140</v>
      </c>
      <c r="K30" s="123" t="s">
        <v>148</v>
      </c>
      <c r="L30" s="123">
        <v>564</v>
      </c>
      <c r="M30" s="157"/>
      <c r="N30" s="158"/>
      <c r="O30" s="158"/>
      <c r="P30" s="158"/>
      <c r="Q30" s="158"/>
    </row>
    <row r="31" spans="1:18">
      <c r="C31" s="36" t="s">
        <v>33</v>
      </c>
      <c r="D31" s="127">
        <f>+D30</f>
        <v>125</v>
      </c>
      <c r="E31" s="127">
        <f>+E30</f>
        <v>0</v>
      </c>
      <c r="F31" s="127">
        <f>+F30</f>
        <v>15</v>
      </c>
      <c r="G31" s="127">
        <f>+G30</f>
        <v>140</v>
      </c>
      <c r="K31" s="123" t="s">
        <v>149</v>
      </c>
      <c r="L31" s="123">
        <v>601</v>
      </c>
      <c r="M31" s="157"/>
      <c r="N31" s="158">
        <v>602</v>
      </c>
      <c r="O31" s="158"/>
      <c r="P31" s="158"/>
      <c r="Q31" s="158"/>
    </row>
    <row r="32" spans="1:18">
      <c r="K32" s="123" t="s">
        <v>150</v>
      </c>
      <c r="L32" s="123">
        <v>605</v>
      </c>
      <c r="M32" s="158"/>
      <c r="N32" s="158">
        <v>606</v>
      </c>
      <c r="O32" s="158"/>
      <c r="P32" s="158"/>
      <c r="Q32" s="158"/>
    </row>
    <row r="33" spans="1:17">
      <c r="A33" s="130" t="s">
        <v>135</v>
      </c>
      <c r="B33" s="131"/>
      <c r="C33" s="131"/>
      <c r="D33" s="132">
        <f>+D26-D31</f>
        <v>1100</v>
      </c>
      <c r="E33" s="132">
        <f>+E26-E31</f>
        <v>0</v>
      </c>
      <c r="F33" s="132">
        <f>+F26-F31</f>
        <v>132</v>
      </c>
      <c r="G33" s="132">
        <f>+G26-G31</f>
        <v>1232</v>
      </c>
      <c r="K33" s="123" t="s">
        <v>151</v>
      </c>
      <c r="L33" s="123">
        <v>609</v>
      </c>
      <c r="M33" s="157"/>
      <c r="N33" s="158"/>
      <c r="O33" s="158"/>
      <c r="P33" s="158"/>
      <c r="Q33" s="158"/>
    </row>
    <row r="34" spans="1:17">
      <c r="A34" s="36" t="s">
        <v>136</v>
      </c>
      <c r="K34" s="123" t="s">
        <v>152</v>
      </c>
      <c r="L34" s="123">
        <v>615</v>
      </c>
      <c r="M34" s="158"/>
      <c r="N34" s="158">
        <v>617</v>
      </c>
      <c r="O34" s="158"/>
      <c r="P34" s="158"/>
      <c r="Q34" s="158"/>
    </row>
    <row r="38" spans="1:17">
      <c r="A38" t="s">
        <v>137</v>
      </c>
    </row>
    <row r="39" spans="1:17">
      <c r="A39" t="s">
        <v>138</v>
      </c>
    </row>
  </sheetData>
  <mergeCells count="1">
    <mergeCell ref="N10:P10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C000"/>
  </sheetPr>
  <dimension ref="A1:M48"/>
  <sheetViews>
    <sheetView zoomScale="85" zoomScaleNormal="85" workbookViewId="0">
      <selection activeCell="A25" sqref="A25"/>
    </sheetView>
  </sheetViews>
  <sheetFormatPr baseColWidth="10" defaultRowHeight="15"/>
  <cols>
    <col min="1" max="16384" width="11.42578125" style="69"/>
  </cols>
  <sheetData>
    <row r="1" spans="1:11">
      <c r="A1" s="69" t="s">
        <v>51</v>
      </c>
    </row>
    <row r="3" spans="1:11">
      <c r="A3" s="69" t="s">
        <v>22</v>
      </c>
    </row>
    <row r="4" spans="1:11">
      <c r="A4" s="69" t="s">
        <v>23</v>
      </c>
    </row>
    <row r="5" spans="1:11">
      <c r="A5" s="69" t="s">
        <v>24</v>
      </c>
    </row>
    <row r="6" spans="1:11">
      <c r="A6" s="69" t="s">
        <v>25</v>
      </c>
    </row>
    <row r="8" spans="1:11">
      <c r="A8" s="69" t="s">
        <v>26</v>
      </c>
    </row>
    <row r="10" spans="1:11">
      <c r="A10" s="69" t="s">
        <v>2</v>
      </c>
      <c r="C10" s="69" t="s">
        <v>31</v>
      </c>
      <c r="D10" s="69" t="s">
        <v>32</v>
      </c>
      <c r="F10" s="69" t="s">
        <v>37</v>
      </c>
      <c r="H10" s="69" t="s">
        <v>31</v>
      </c>
      <c r="I10" s="69" t="s">
        <v>32</v>
      </c>
    </row>
    <row r="12" spans="1:11">
      <c r="A12" s="69" t="s">
        <v>27</v>
      </c>
      <c r="C12" s="70">
        <v>3500</v>
      </c>
      <c r="D12" s="70">
        <f>+C12*12</f>
        <v>42000</v>
      </c>
      <c r="F12" s="69" t="s">
        <v>29</v>
      </c>
      <c r="H12" s="71">
        <f>+C12/12</f>
        <v>291.66666666666669</v>
      </c>
      <c r="I12" s="70">
        <f>+H12*12</f>
        <v>3500</v>
      </c>
      <c r="K12" s="69" t="s">
        <v>34</v>
      </c>
    </row>
    <row r="13" spans="1:11">
      <c r="A13" s="69" t="s">
        <v>28</v>
      </c>
      <c r="C13" s="69">
        <v>50</v>
      </c>
      <c r="D13" s="70">
        <f>+C13*12</f>
        <v>600</v>
      </c>
      <c r="F13" s="69" t="s">
        <v>3</v>
      </c>
      <c r="H13" s="71">
        <f>425/12</f>
        <v>35.416666666666664</v>
      </c>
      <c r="I13" s="70">
        <f t="shared" ref="I13:I14" si="0">+H13*12</f>
        <v>425</v>
      </c>
      <c r="K13" s="69" t="s">
        <v>35</v>
      </c>
    </row>
    <row r="14" spans="1:11">
      <c r="A14" s="69" t="s">
        <v>0</v>
      </c>
      <c r="D14" s="70">
        <v>1200</v>
      </c>
      <c r="F14" s="69" t="s">
        <v>30</v>
      </c>
      <c r="H14" s="71">
        <f>+C12*8.33%</f>
        <v>291.55</v>
      </c>
      <c r="I14" s="70">
        <f t="shared" si="0"/>
        <v>3498.6000000000004</v>
      </c>
      <c r="K14" s="69" t="s">
        <v>36</v>
      </c>
    </row>
    <row r="16" spans="1:11">
      <c r="B16" s="69" t="s">
        <v>33</v>
      </c>
      <c r="D16" s="72">
        <f>SUM(D12:D15)</f>
        <v>43800</v>
      </c>
      <c r="I16" s="72">
        <f>SUM(I12:I15)</f>
        <v>7423.6</v>
      </c>
    </row>
    <row r="18" spans="1:13">
      <c r="E18" s="69" t="s">
        <v>38</v>
      </c>
      <c r="H18" s="72">
        <f>+D16+I16</f>
        <v>51223.6</v>
      </c>
      <c r="I18" s="69" t="s">
        <v>39</v>
      </c>
    </row>
    <row r="19" spans="1:13">
      <c r="H19" s="72"/>
    </row>
    <row r="20" spans="1:13" ht="15.75" thickBot="1">
      <c r="A20" s="69" t="s">
        <v>42</v>
      </c>
      <c r="B20" s="73">
        <v>11310</v>
      </c>
      <c r="D20" s="69">
        <f>11310*2.13</f>
        <v>24090.3</v>
      </c>
    </row>
    <row r="21" spans="1:13">
      <c r="A21" s="74" t="s">
        <v>1</v>
      </c>
      <c r="B21" s="75"/>
      <c r="C21" s="75"/>
      <c r="D21" s="76">
        <v>24090.3</v>
      </c>
      <c r="E21" s="77"/>
      <c r="K21" s="78" t="s">
        <v>21</v>
      </c>
      <c r="L21" s="78" t="s">
        <v>21</v>
      </c>
      <c r="M21" s="79">
        <v>44531</v>
      </c>
    </row>
    <row r="22" spans="1:13">
      <c r="A22" s="80" t="s">
        <v>40</v>
      </c>
      <c r="B22" s="81"/>
      <c r="C22" s="81"/>
      <c r="D22" s="82">
        <v>0.1</v>
      </c>
      <c r="E22" s="83">
        <v>503.75500000000005</v>
      </c>
      <c r="F22" s="69" t="s">
        <v>43</v>
      </c>
      <c r="K22" s="69">
        <f>+L22*7</f>
        <v>5037.55</v>
      </c>
      <c r="L22" s="69">
        <v>719.65</v>
      </c>
    </row>
    <row r="23" spans="1:13" ht="15.75" thickBot="1">
      <c r="A23" s="84" t="s">
        <v>41</v>
      </c>
      <c r="B23" s="85"/>
      <c r="C23" s="85"/>
      <c r="D23" s="86">
        <v>0.2</v>
      </c>
      <c r="E23" s="87">
        <v>1007.5100000000001</v>
      </c>
    </row>
    <row r="25" spans="1:13" ht="18.75">
      <c r="A25" s="103" t="s">
        <v>59</v>
      </c>
      <c r="B25" s="104"/>
      <c r="C25" s="104"/>
      <c r="D25" s="104"/>
    </row>
    <row r="26" spans="1:13">
      <c r="A26" s="69" t="s">
        <v>44</v>
      </c>
      <c r="C26" s="101">
        <f>+H18</f>
        <v>51223.6</v>
      </c>
    </row>
    <row r="27" spans="1:13">
      <c r="A27" s="69" t="s">
        <v>45</v>
      </c>
      <c r="C27" s="71">
        <v>2500</v>
      </c>
    </row>
    <row r="28" spans="1:13">
      <c r="A28" s="69" t="s">
        <v>50</v>
      </c>
      <c r="C28" s="71">
        <v>5037.55</v>
      </c>
    </row>
    <row r="29" spans="1:13">
      <c r="A29" s="69" t="s">
        <v>47</v>
      </c>
      <c r="C29" s="102">
        <v>0.1</v>
      </c>
    </row>
    <row r="30" spans="1:13">
      <c r="A30" s="69" t="s">
        <v>48</v>
      </c>
      <c r="C30" s="71">
        <f>+C27*C29</f>
        <v>250</v>
      </c>
    </row>
    <row r="31" spans="1:13">
      <c r="A31" s="69" t="s">
        <v>49</v>
      </c>
      <c r="C31" s="71">
        <f>+C28*C29</f>
        <v>503.75500000000005</v>
      </c>
    </row>
    <row r="32" spans="1:13">
      <c r="C32" s="71"/>
    </row>
    <row r="33" spans="1:10">
      <c r="C33" s="71"/>
    </row>
    <row r="34" spans="1:10">
      <c r="A34" s="69" t="s">
        <v>46</v>
      </c>
      <c r="C34" s="88">
        <f>+C30</f>
        <v>250</v>
      </c>
    </row>
    <row r="36" spans="1:10" ht="18.75">
      <c r="A36" s="103" t="s">
        <v>53</v>
      </c>
      <c r="B36" s="104"/>
      <c r="C36" s="104"/>
      <c r="D36" s="104"/>
    </row>
    <row r="37" spans="1:10">
      <c r="A37" s="89" t="s">
        <v>4</v>
      </c>
      <c r="D37" s="101">
        <f>+D16</f>
        <v>43800</v>
      </c>
      <c r="G37" s="111" t="s">
        <v>5</v>
      </c>
      <c r="H37" s="112"/>
      <c r="I37" s="112"/>
      <c r="J37" s="113"/>
    </row>
    <row r="38" spans="1:10" ht="34.5" customHeight="1">
      <c r="A38" s="69" t="s">
        <v>6</v>
      </c>
      <c r="D38" s="90">
        <f>+(D12+D13)*9.45%</f>
        <v>4025.6999999999994</v>
      </c>
      <c r="G38" s="66" t="s">
        <v>7</v>
      </c>
      <c r="H38" s="67" t="s">
        <v>8</v>
      </c>
      <c r="I38" s="91" t="s">
        <v>57</v>
      </c>
      <c r="J38" s="92" t="s">
        <v>58</v>
      </c>
    </row>
    <row r="39" spans="1:10">
      <c r="A39" s="69" t="s">
        <v>11</v>
      </c>
      <c r="D39" s="88">
        <f>+D37-D38</f>
        <v>39774.300000000003</v>
      </c>
      <c r="F39" s="69">
        <v>1</v>
      </c>
      <c r="G39" s="93">
        <v>0</v>
      </c>
      <c r="H39" s="94">
        <v>11310</v>
      </c>
      <c r="I39" s="93">
        <v>0</v>
      </c>
      <c r="J39" s="95">
        <v>0</v>
      </c>
    </row>
    <row r="40" spans="1:10">
      <c r="A40" s="69" t="s">
        <v>12</v>
      </c>
      <c r="D40" s="96">
        <f>+G44</f>
        <v>31630.01</v>
      </c>
      <c r="F40" s="69">
        <v>2</v>
      </c>
      <c r="G40" s="94">
        <v>11310.01</v>
      </c>
      <c r="H40" s="94">
        <v>14410</v>
      </c>
      <c r="I40" s="93">
        <v>0</v>
      </c>
      <c r="J40" s="95">
        <v>0.05</v>
      </c>
    </row>
    <row r="41" spans="1:10">
      <c r="A41" s="69" t="s">
        <v>13</v>
      </c>
      <c r="D41" s="88">
        <f>+D39-D40</f>
        <v>8144.2900000000045</v>
      </c>
      <c r="F41" s="69">
        <v>3</v>
      </c>
      <c r="G41" s="94">
        <v>14410.01</v>
      </c>
      <c r="H41" s="94">
        <v>18010</v>
      </c>
      <c r="I41" s="93">
        <v>155</v>
      </c>
      <c r="J41" s="95">
        <v>0.1</v>
      </c>
    </row>
    <row r="42" spans="1:10">
      <c r="A42" s="69" t="s">
        <v>14</v>
      </c>
      <c r="D42" s="97">
        <f>+J44</f>
        <v>0.2</v>
      </c>
      <c r="F42" s="69">
        <v>4</v>
      </c>
      <c r="G42" s="94">
        <v>18010.009999999998</v>
      </c>
      <c r="H42" s="94">
        <v>21630</v>
      </c>
      <c r="I42" s="93">
        <v>515</v>
      </c>
      <c r="J42" s="95">
        <v>0.12</v>
      </c>
    </row>
    <row r="43" spans="1:10">
      <c r="A43" s="69" t="s">
        <v>13</v>
      </c>
      <c r="D43" s="71">
        <f>+D41*D42</f>
        <v>1628.8580000000011</v>
      </c>
      <c r="F43" s="69">
        <v>5</v>
      </c>
      <c r="G43" s="94">
        <v>21630.01</v>
      </c>
      <c r="H43" s="94">
        <v>31630</v>
      </c>
      <c r="I43" s="93">
        <v>949</v>
      </c>
      <c r="J43" s="95">
        <v>0.15</v>
      </c>
    </row>
    <row r="44" spans="1:10">
      <c r="A44" s="69" t="s">
        <v>15</v>
      </c>
      <c r="D44" s="90">
        <f>+I44</f>
        <v>2449</v>
      </c>
      <c r="F44" s="69">
        <v>6</v>
      </c>
      <c r="G44" s="94">
        <v>31630.01</v>
      </c>
      <c r="H44" s="94">
        <v>41630</v>
      </c>
      <c r="I44" s="98">
        <v>2449</v>
      </c>
      <c r="J44" s="95">
        <v>0.2</v>
      </c>
    </row>
    <row r="45" spans="1:10">
      <c r="A45" s="69" t="s">
        <v>16</v>
      </c>
      <c r="D45" s="71">
        <f>+D43+D44</f>
        <v>4077.8580000000011</v>
      </c>
      <c r="F45" s="69">
        <v>7</v>
      </c>
      <c r="G45" s="94">
        <v>41630.01</v>
      </c>
      <c r="H45" s="94">
        <v>51630</v>
      </c>
      <c r="I45" s="98">
        <v>4449</v>
      </c>
      <c r="J45" s="95">
        <v>0.25</v>
      </c>
    </row>
    <row r="46" spans="1:10">
      <c r="A46" s="69" t="s">
        <v>17</v>
      </c>
      <c r="D46" s="99">
        <f>+C34</f>
        <v>250</v>
      </c>
      <c r="F46" s="69">
        <v>8</v>
      </c>
      <c r="G46" s="94">
        <v>51630.01</v>
      </c>
      <c r="H46" s="94">
        <v>61630</v>
      </c>
      <c r="I46" s="98">
        <v>6949</v>
      </c>
      <c r="J46" s="95">
        <v>0.3</v>
      </c>
    </row>
    <row r="47" spans="1:10">
      <c r="A47" s="69" t="s">
        <v>18</v>
      </c>
      <c r="D47" s="100">
        <f>+D45-D46</f>
        <v>3827.8580000000011</v>
      </c>
      <c r="F47" s="69">
        <v>9</v>
      </c>
      <c r="G47" s="94">
        <v>61630.01</v>
      </c>
      <c r="H47" s="94">
        <v>100000</v>
      </c>
      <c r="I47" s="98">
        <v>9949</v>
      </c>
      <c r="J47" s="95">
        <v>0.35</v>
      </c>
    </row>
    <row r="48" spans="1:10" ht="25.5">
      <c r="A48" s="69" t="s">
        <v>19</v>
      </c>
      <c r="D48" s="71">
        <f>+D47/12</f>
        <v>318.98816666666676</v>
      </c>
      <c r="F48" s="69">
        <v>10</v>
      </c>
      <c r="G48" s="94">
        <v>100000.01</v>
      </c>
      <c r="H48" s="68" t="s">
        <v>20</v>
      </c>
      <c r="I48" s="93">
        <v>23379</v>
      </c>
      <c r="J48" s="95">
        <v>0.37</v>
      </c>
    </row>
  </sheetData>
  <mergeCells count="1">
    <mergeCell ref="G37:J37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FF00"/>
  </sheetPr>
  <dimension ref="A1:M49"/>
  <sheetViews>
    <sheetView zoomScale="85" zoomScaleNormal="85" workbookViewId="0">
      <selection activeCell="A36" sqref="A36:D36"/>
    </sheetView>
  </sheetViews>
  <sheetFormatPr baseColWidth="10" defaultRowHeight="15"/>
  <sheetData>
    <row r="1" spans="1:11">
      <c r="A1" t="s">
        <v>51</v>
      </c>
    </row>
    <row r="3" spans="1:11">
      <c r="A3" t="s">
        <v>22</v>
      </c>
    </row>
    <row r="4" spans="1:11">
      <c r="A4" t="s">
        <v>23</v>
      </c>
    </row>
    <row r="5" spans="1:11">
      <c r="A5" t="s">
        <v>24</v>
      </c>
    </row>
    <row r="6" spans="1:11">
      <c r="A6" t="s">
        <v>25</v>
      </c>
    </row>
    <row r="8" spans="1:11">
      <c r="A8" t="s">
        <v>54</v>
      </c>
    </row>
    <row r="10" spans="1:11">
      <c r="A10" t="s">
        <v>2</v>
      </c>
      <c r="C10" t="s">
        <v>31</v>
      </c>
      <c r="D10" t="s">
        <v>32</v>
      </c>
      <c r="F10" t="s">
        <v>37</v>
      </c>
      <c r="H10" t="s">
        <v>31</v>
      </c>
      <c r="I10" t="s">
        <v>32</v>
      </c>
    </row>
    <row r="12" spans="1:11">
      <c r="A12" t="s">
        <v>27</v>
      </c>
      <c r="C12" s="50">
        <v>3500</v>
      </c>
      <c r="D12" s="50">
        <f>+C12*12</f>
        <v>42000</v>
      </c>
      <c r="F12" t="s">
        <v>29</v>
      </c>
      <c r="H12" s="2">
        <f>+C12/12</f>
        <v>291.66666666666669</v>
      </c>
      <c r="I12" s="50">
        <f>+H12*12</f>
        <v>3500</v>
      </c>
      <c r="K12" t="s">
        <v>34</v>
      </c>
    </row>
    <row r="13" spans="1:11">
      <c r="A13" t="s">
        <v>28</v>
      </c>
      <c r="C13">
        <v>120</v>
      </c>
      <c r="D13" s="50">
        <f>+C13*12</f>
        <v>1440</v>
      </c>
      <c r="F13" t="s">
        <v>3</v>
      </c>
      <c r="H13" s="2">
        <f>425/12</f>
        <v>35.416666666666664</v>
      </c>
      <c r="I13" s="50">
        <f t="shared" ref="I13:I14" si="0">+H13*12</f>
        <v>425</v>
      </c>
      <c r="K13" t="s">
        <v>35</v>
      </c>
    </row>
    <row r="14" spans="1:11">
      <c r="A14" t="s">
        <v>0</v>
      </c>
      <c r="D14" s="50">
        <v>2400</v>
      </c>
      <c r="F14" t="s">
        <v>30</v>
      </c>
      <c r="H14" s="2">
        <f>+C12*8.33%</f>
        <v>291.55</v>
      </c>
      <c r="I14" s="50">
        <f t="shared" si="0"/>
        <v>3498.6000000000004</v>
      </c>
      <c r="K14" t="s">
        <v>36</v>
      </c>
    </row>
    <row r="16" spans="1:11">
      <c r="B16" t="s">
        <v>33</v>
      </c>
      <c r="D16" s="51">
        <f>SUM(D12:D15)</f>
        <v>45840</v>
      </c>
      <c r="I16" s="51">
        <f>SUM(I12:I15)</f>
        <v>7423.6</v>
      </c>
    </row>
    <row r="18" spans="1:13">
      <c r="E18" t="s">
        <v>38</v>
      </c>
      <c r="H18" s="51">
        <f>+D16+I16</f>
        <v>53263.6</v>
      </c>
      <c r="I18" t="s">
        <v>39</v>
      </c>
    </row>
    <row r="19" spans="1:13">
      <c r="H19" s="51"/>
    </row>
    <row r="20" spans="1:13" ht="15.75" thickBot="1">
      <c r="A20" t="s">
        <v>42</v>
      </c>
      <c r="B20" s="38">
        <v>11310</v>
      </c>
      <c r="D20">
        <f>11310*2.13</f>
        <v>24090.3</v>
      </c>
    </row>
    <row r="21" spans="1:13">
      <c r="A21" s="3" t="s">
        <v>1</v>
      </c>
      <c r="B21" s="4"/>
      <c r="C21" s="4"/>
      <c r="D21" s="5">
        <v>24090.3</v>
      </c>
      <c r="E21" s="6"/>
      <c r="K21" s="36" t="s">
        <v>21</v>
      </c>
      <c r="L21" s="36" t="s">
        <v>21</v>
      </c>
      <c r="M21" s="52">
        <v>44531</v>
      </c>
    </row>
    <row r="22" spans="1:13">
      <c r="A22" s="7" t="s">
        <v>40</v>
      </c>
      <c r="B22" s="8"/>
      <c r="C22" s="8"/>
      <c r="D22" s="9">
        <v>0.1</v>
      </c>
      <c r="E22" s="10">
        <v>503.75500000000005</v>
      </c>
      <c r="F22" t="s">
        <v>52</v>
      </c>
      <c r="K22" s="39">
        <f>+L22*7</f>
        <v>5037.55</v>
      </c>
      <c r="L22" s="39">
        <v>719.65</v>
      </c>
    </row>
    <row r="23" spans="1:13" ht="15.75" thickBot="1">
      <c r="A23" s="11" t="s">
        <v>41</v>
      </c>
      <c r="B23" s="12"/>
      <c r="C23" s="12"/>
      <c r="D23" s="13">
        <v>0.2</v>
      </c>
      <c r="E23" s="14">
        <v>1007.5100000000001</v>
      </c>
    </row>
    <row r="24" spans="1:13">
      <c r="A24" s="8"/>
      <c r="B24" s="8"/>
      <c r="C24" s="8"/>
      <c r="D24" s="9"/>
      <c r="E24" s="105"/>
    </row>
    <row r="25" spans="1:13" ht="18.75">
      <c r="A25" s="103" t="s">
        <v>59</v>
      </c>
      <c r="B25" s="106"/>
      <c r="C25" s="106"/>
      <c r="D25" s="106"/>
    </row>
    <row r="26" spans="1:13">
      <c r="A26" t="s">
        <v>44</v>
      </c>
      <c r="C26" s="53">
        <f>+H18</f>
        <v>53263.6</v>
      </c>
    </row>
    <row r="27" spans="1:13">
      <c r="A27" t="s">
        <v>45</v>
      </c>
      <c r="C27" s="2">
        <v>4800</v>
      </c>
    </row>
    <row r="28" spans="1:13">
      <c r="A28" t="s">
        <v>50</v>
      </c>
      <c r="C28" s="16">
        <v>5037.55</v>
      </c>
    </row>
    <row r="29" spans="1:13">
      <c r="A29" t="s">
        <v>47</v>
      </c>
      <c r="C29" s="41">
        <v>0.1</v>
      </c>
    </row>
    <row r="30" spans="1:13">
      <c r="A30" t="s">
        <v>48</v>
      </c>
      <c r="C30" s="2">
        <f>+C27*C29</f>
        <v>480</v>
      </c>
    </row>
    <row r="31" spans="1:13">
      <c r="A31" t="s">
        <v>49</v>
      </c>
      <c r="C31" s="2">
        <f>+C28*C29</f>
        <v>503.75500000000005</v>
      </c>
    </row>
    <row r="32" spans="1:13">
      <c r="C32" s="2"/>
    </row>
    <row r="33" spans="1:10">
      <c r="C33" s="2"/>
    </row>
    <row r="34" spans="1:10">
      <c r="A34" t="s">
        <v>46</v>
      </c>
      <c r="C34" s="40">
        <f>+C30</f>
        <v>480</v>
      </c>
    </row>
    <row r="36" spans="1:10" ht="18.75">
      <c r="A36" s="103" t="s">
        <v>53</v>
      </c>
      <c r="B36" s="106"/>
      <c r="C36" s="106"/>
      <c r="D36" s="106"/>
    </row>
    <row r="37" spans="1:10">
      <c r="A37" s="1" t="s">
        <v>4</v>
      </c>
      <c r="D37" s="53">
        <f>+D16</f>
        <v>45840</v>
      </c>
      <c r="G37" s="114" t="s">
        <v>5</v>
      </c>
      <c r="H37" s="115"/>
      <c r="I37" s="115"/>
      <c r="J37" s="116"/>
    </row>
    <row r="38" spans="1:10" ht="34.5" customHeight="1">
      <c r="A38" t="s">
        <v>6</v>
      </c>
      <c r="D38" s="17">
        <f>+(D12+D13)*9.45%</f>
        <v>4105.079999999999</v>
      </c>
      <c r="G38" s="18" t="s">
        <v>7</v>
      </c>
      <c r="H38" s="19" t="s">
        <v>8</v>
      </c>
      <c r="I38" s="20" t="s">
        <v>9</v>
      </c>
      <c r="J38" s="21" t="s">
        <v>10</v>
      </c>
    </row>
    <row r="39" spans="1:10">
      <c r="A39" t="s">
        <v>11</v>
      </c>
      <c r="D39" s="15">
        <f>+D37-D38</f>
        <v>41734.92</v>
      </c>
      <c r="F39">
        <v>1</v>
      </c>
      <c r="G39" s="22">
        <v>0</v>
      </c>
      <c r="H39" s="37">
        <v>11310</v>
      </c>
      <c r="I39" s="22">
        <v>0</v>
      </c>
      <c r="J39" s="24">
        <v>0</v>
      </c>
    </row>
    <row r="40" spans="1:10">
      <c r="A40" t="s">
        <v>12</v>
      </c>
      <c r="D40" s="25">
        <f>+G45</f>
        <v>41630.01</v>
      </c>
      <c r="F40">
        <v>2</v>
      </c>
      <c r="G40" s="23">
        <v>11310.01</v>
      </c>
      <c r="H40" s="23">
        <v>14410</v>
      </c>
      <c r="I40" s="22">
        <v>0</v>
      </c>
      <c r="J40" s="24">
        <v>0.05</v>
      </c>
    </row>
    <row r="41" spans="1:10">
      <c r="A41" t="s">
        <v>13</v>
      </c>
      <c r="D41" s="15">
        <f>+D39-D40</f>
        <v>104.90999999999622</v>
      </c>
      <c r="F41">
        <v>3</v>
      </c>
      <c r="G41" s="23">
        <v>14410.01</v>
      </c>
      <c r="H41" s="23">
        <v>18010</v>
      </c>
      <c r="I41" s="22">
        <v>155</v>
      </c>
      <c r="J41" s="24">
        <v>0.1</v>
      </c>
    </row>
    <row r="42" spans="1:10">
      <c r="A42" t="s">
        <v>14</v>
      </c>
      <c r="D42" s="26">
        <f>+J45</f>
        <v>0.25</v>
      </c>
      <c r="F42">
        <v>4</v>
      </c>
      <c r="G42" s="27">
        <v>18010.009999999998</v>
      </c>
      <c r="H42" s="27">
        <v>21630</v>
      </c>
      <c r="I42" s="28">
        <v>515</v>
      </c>
      <c r="J42" s="29">
        <v>0.12</v>
      </c>
    </row>
    <row r="43" spans="1:10">
      <c r="A43" t="s">
        <v>13</v>
      </c>
      <c r="D43" s="2">
        <f>+D41*D42</f>
        <v>26.227499999999054</v>
      </c>
      <c r="F43">
        <v>5</v>
      </c>
      <c r="G43" s="23">
        <v>21630.01</v>
      </c>
      <c r="H43" s="23">
        <v>31630</v>
      </c>
      <c r="I43" s="22">
        <v>949</v>
      </c>
      <c r="J43" s="24">
        <v>0.15</v>
      </c>
    </row>
    <row r="44" spans="1:10">
      <c r="A44" t="s">
        <v>15</v>
      </c>
      <c r="D44" s="17">
        <f>+I45</f>
        <v>4449</v>
      </c>
      <c r="F44">
        <v>6</v>
      </c>
      <c r="G44" s="23">
        <v>31630.01</v>
      </c>
      <c r="H44" s="23">
        <v>41630</v>
      </c>
      <c r="I44" s="30">
        <v>2449</v>
      </c>
      <c r="J44" s="24">
        <v>0.2</v>
      </c>
    </row>
    <row r="45" spans="1:10">
      <c r="A45" t="s">
        <v>16</v>
      </c>
      <c r="D45" s="2">
        <f>+D43+D44</f>
        <v>4475.2274999999991</v>
      </c>
      <c r="F45">
        <v>7</v>
      </c>
      <c r="G45" s="47">
        <v>41630.01</v>
      </c>
      <c r="H45" s="47">
        <v>51630</v>
      </c>
      <c r="I45" s="48">
        <v>4449</v>
      </c>
      <c r="J45" s="49">
        <v>0.25</v>
      </c>
    </row>
    <row r="46" spans="1:10">
      <c r="A46" t="s">
        <v>17</v>
      </c>
      <c r="D46" s="32">
        <f>+C34</f>
        <v>480</v>
      </c>
      <c r="F46">
        <v>8</v>
      </c>
      <c r="G46" s="27">
        <v>51630.01</v>
      </c>
      <c r="H46" s="27">
        <v>61630</v>
      </c>
      <c r="I46" s="31">
        <v>6949</v>
      </c>
      <c r="J46" s="29">
        <v>0.3</v>
      </c>
    </row>
    <row r="47" spans="1:10">
      <c r="A47" t="s">
        <v>18</v>
      </c>
      <c r="D47" s="33">
        <f>+D45-D46</f>
        <v>3995.2274999999991</v>
      </c>
      <c r="F47">
        <v>9</v>
      </c>
      <c r="G47" s="27">
        <v>61630.01</v>
      </c>
      <c r="H47" s="27">
        <v>100000</v>
      </c>
      <c r="I47" s="31">
        <v>9949</v>
      </c>
      <c r="J47" s="29">
        <v>0.35</v>
      </c>
    </row>
    <row r="48" spans="1:10" ht="25.5">
      <c r="A48" t="s">
        <v>55</v>
      </c>
      <c r="D48" s="17">
        <f>+'EJ 1_1'!D48*11</f>
        <v>3508.8698333333341</v>
      </c>
      <c r="F48">
        <v>10</v>
      </c>
      <c r="G48" s="27">
        <v>100000.01</v>
      </c>
      <c r="H48" s="34" t="s">
        <v>20</v>
      </c>
      <c r="I48" s="28">
        <v>23379</v>
      </c>
      <c r="J48" s="29">
        <v>0.37</v>
      </c>
    </row>
    <row r="49" spans="1:4">
      <c r="A49" t="s">
        <v>56</v>
      </c>
      <c r="D49" s="15">
        <f>D47-D48</f>
        <v>486.35766666666495</v>
      </c>
    </row>
  </sheetData>
  <mergeCells count="1">
    <mergeCell ref="G37:J37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4" tint="-0.249977111117893"/>
  </sheetPr>
  <dimension ref="A1:V49"/>
  <sheetViews>
    <sheetView zoomScale="85" zoomScaleNormal="85" workbookViewId="0">
      <selection activeCell="A36" sqref="A36:D36"/>
    </sheetView>
  </sheetViews>
  <sheetFormatPr baseColWidth="10" defaultRowHeight="15"/>
  <sheetData>
    <row r="1" spans="1:11">
      <c r="A1" t="s">
        <v>51</v>
      </c>
    </row>
    <row r="3" spans="1:11">
      <c r="A3" t="s">
        <v>22</v>
      </c>
    </row>
    <row r="4" spans="1:11">
      <c r="A4" t="s">
        <v>23</v>
      </c>
    </row>
    <row r="5" spans="1:11">
      <c r="A5" t="s">
        <v>24</v>
      </c>
    </row>
    <row r="6" spans="1:11">
      <c r="A6" t="s">
        <v>25</v>
      </c>
    </row>
    <row r="8" spans="1:11">
      <c r="A8" t="s">
        <v>26</v>
      </c>
    </row>
    <row r="10" spans="1:11">
      <c r="A10" t="s">
        <v>2</v>
      </c>
      <c r="C10" t="s">
        <v>31</v>
      </c>
      <c r="D10" t="s">
        <v>32</v>
      </c>
      <c r="F10" t="s">
        <v>37</v>
      </c>
      <c r="H10" t="s">
        <v>31</v>
      </c>
      <c r="I10" t="s">
        <v>32</v>
      </c>
    </row>
    <row r="12" spans="1:11">
      <c r="A12" t="s">
        <v>27</v>
      </c>
      <c r="C12" s="50">
        <v>1800</v>
      </c>
      <c r="D12" s="50">
        <f>+C12*12</f>
        <v>21600</v>
      </c>
      <c r="F12" t="s">
        <v>29</v>
      </c>
      <c r="H12" s="2">
        <f>+C12/12</f>
        <v>150</v>
      </c>
      <c r="I12" s="50">
        <f>+H12*12</f>
        <v>1800</v>
      </c>
      <c r="K12" t="s">
        <v>34</v>
      </c>
    </row>
    <row r="13" spans="1:11">
      <c r="A13" t="s">
        <v>28</v>
      </c>
      <c r="C13">
        <v>25</v>
      </c>
      <c r="D13" s="50">
        <f>+C13*12</f>
        <v>300</v>
      </c>
      <c r="F13" t="s">
        <v>3</v>
      </c>
      <c r="H13" s="2">
        <f>425/12</f>
        <v>35.416666666666664</v>
      </c>
      <c r="I13" s="50">
        <f t="shared" ref="I13:I14" si="0">+H13*12</f>
        <v>425</v>
      </c>
      <c r="K13" t="s">
        <v>35</v>
      </c>
    </row>
    <row r="14" spans="1:11">
      <c r="A14" t="s">
        <v>0</v>
      </c>
      <c r="D14" s="50">
        <v>500</v>
      </c>
      <c r="F14" t="s">
        <v>30</v>
      </c>
      <c r="H14" s="2">
        <f>+C12*8.33%</f>
        <v>149.94</v>
      </c>
      <c r="I14" s="50">
        <f t="shared" si="0"/>
        <v>1799.28</v>
      </c>
      <c r="K14" t="s">
        <v>36</v>
      </c>
    </row>
    <row r="16" spans="1:11">
      <c r="B16" t="s">
        <v>33</v>
      </c>
      <c r="D16" s="51">
        <f>SUM(D12:D15)</f>
        <v>22400</v>
      </c>
      <c r="I16" s="51">
        <f>SUM(I12:I15)</f>
        <v>4024.2799999999997</v>
      </c>
    </row>
    <row r="18" spans="1:22">
      <c r="E18" t="s">
        <v>38</v>
      </c>
      <c r="H18" s="51">
        <f>+D16+I16</f>
        <v>26424.28</v>
      </c>
      <c r="I18" t="s">
        <v>39</v>
      </c>
    </row>
    <row r="19" spans="1:22">
      <c r="H19" s="51"/>
    </row>
    <row r="20" spans="1:22" ht="15.75" thickBot="1">
      <c r="A20" t="s">
        <v>42</v>
      </c>
      <c r="B20" s="38">
        <v>11310</v>
      </c>
      <c r="D20">
        <f>11310*2.13</f>
        <v>24090.3</v>
      </c>
    </row>
    <row r="21" spans="1:22">
      <c r="A21" s="3" t="s">
        <v>1</v>
      </c>
      <c r="B21" s="4"/>
      <c r="C21" s="4"/>
      <c r="D21" s="5">
        <v>24090.3</v>
      </c>
      <c r="E21" s="6"/>
      <c r="K21" s="36" t="s">
        <v>21</v>
      </c>
      <c r="L21" s="36" t="s">
        <v>21</v>
      </c>
      <c r="M21" s="52">
        <v>44531</v>
      </c>
    </row>
    <row r="22" spans="1:22">
      <c r="A22" s="7" t="s">
        <v>40</v>
      </c>
      <c r="B22" s="8"/>
      <c r="C22" s="8"/>
      <c r="D22" s="9">
        <v>0.1</v>
      </c>
      <c r="E22" s="10">
        <v>503.75500000000005</v>
      </c>
      <c r="F22" t="s">
        <v>52</v>
      </c>
      <c r="K22" s="39">
        <f>+L22*7</f>
        <v>5037.55</v>
      </c>
      <c r="L22" s="39">
        <v>719.65</v>
      </c>
    </row>
    <row r="23" spans="1:22" ht="15.75" thickBot="1">
      <c r="A23" s="11" t="s">
        <v>41</v>
      </c>
      <c r="B23" s="12"/>
      <c r="C23" s="12"/>
      <c r="D23" s="13">
        <v>0.2</v>
      </c>
      <c r="E23" s="14">
        <v>1007.5100000000001</v>
      </c>
    </row>
    <row r="25" spans="1:22" ht="19.5" thickBot="1">
      <c r="A25" s="103" t="s">
        <v>59</v>
      </c>
      <c r="B25" s="106"/>
      <c r="C25" s="106"/>
      <c r="D25" s="106"/>
    </row>
    <row r="26" spans="1:22">
      <c r="A26" t="s">
        <v>44</v>
      </c>
      <c r="C26" s="53">
        <f>+H18</f>
        <v>26424.28</v>
      </c>
      <c r="S26" s="56">
        <v>20000</v>
      </c>
      <c r="T26" s="57">
        <v>14000</v>
      </c>
      <c r="U26" s="57">
        <v>18000</v>
      </c>
      <c r="V26" s="58">
        <v>30000</v>
      </c>
    </row>
    <row r="27" spans="1:22">
      <c r="A27" t="s">
        <v>45</v>
      </c>
      <c r="C27" s="2">
        <v>2500</v>
      </c>
      <c r="S27" s="42">
        <v>5000</v>
      </c>
      <c r="T27" s="35">
        <v>500</v>
      </c>
      <c r="U27" s="35">
        <v>6000</v>
      </c>
      <c r="V27" s="43">
        <v>4500</v>
      </c>
    </row>
    <row r="28" spans="1:22">
      <c r="A28" t="s">
        <v>50</v>
      </c>
      <c r="C28" s="16">
        <v>5037.55</v>
      </c>
      <c r="S28" s="59">
        <v>5037.55</v>
      </c>
      <c r="T28" s="54">
        <v>5037.55</v>
      </c>
      <c r="U28" s="54">
        <v>5037.55</v>
      </c>
      <c r="V28" s="60">
        <v>5037.55</v>
      </c>
    </row>
    <row r="29" spans="1:22">
      <c r="A29" t="s">
        <v>47</v>
      </c>
      <c r="C29" s="41">
        <v>0.1</v>
      </c>
      <c r="S29" s="61">
        <v>0.2</v>
      </c>
      <c r="T29" s="55">
        <v>0.2</v>
      </c>
      <c r="U29" s="55">
        <v>0.2</v>
      </c>
      <c r="V29" s="62">
        <v>0.1</v>
      </c>
    </row>
    <row r="30" spans="1:22">
      <c r="A30" t="s">
        <v>48</v>
      </c>
      <c r="C30" s="2">
        <f>+C27*C29</f>
        <v>250</v>
      </c>
      <c r="S30" s="42">
        <f>+S27*S29</f>
        <v>1000</v>
      </c>
      <c r="T30" s="35">
        <f>+T27*T29</f>
        <v>100</v>
      </c>
      <c r="U30" s="35">
        <f>+U27*U29</f>
        <v>1200</v>
      </c>
      <c r="V30" s="43">
        <f>+V27*V29</f>
        <v>450</v>
      </c>
    </row>
    <row r="31" spans="1:22">
      <c r="A31" t="s">
        <v>49</v>
      </c>
      <c r="C31" s="2">
        <f>+C28*C29</f>
        <v>503.75500000000005</v>
      </c>
      <c r="S31" s="42">
        <f>+S28*S29</f>
        <v>1007.5100000000001</v>
      </c>
      <c r="T31" s="35">
        <f>+T28*T29</f>
        <v>1007.5100000000001</v>
      </c>
      <c r="U31" s="35">
        <f>+U28*U29</f>
        <v>1007.5100000000001</v>
      </c>
      <c r="V31" s="43">
        <f>+V28*V29</f>
        <v>503.75500000000005</v>
      </c>
    </row>
    <row r="32" spans="1:22">
      <c r="C32" s="2"/>
      <c r="S32" s="42"/>
      <c r="T32" s="35"/>
      <c r="U32" s="35"/>
      <c r="V32" s="43"/>
    </row>
    <row r="33" spans="1:22">
      <c r="C33" s="2"/>
      <c r="S33" s="42"/>
      <c r="T33" s="35"/>
      <c r="U33" s="35"/>
      <c r="V33" s="43"/>
    </row>
    <row r="34" spans="1:22" ht="15.75" thickBot="1">
      <c r="A34" t="s">
        <v>46</v>
      </c>
      <c r="C34" s="40">
        <f>+C30</f>
        <v>250</v>
      </c>
      <c r="S34" s="44">
        <f>+S30</f>
        <v>1000</v>
      </c>
      <c r="T34" s="45">
        <f>+T30</f>
        <v>100</v>
      </c>
      <c r="U34" s="45">
        <f>+U31</f>
        <v>1007.5100000000001</v>
      </c>
      <c r="V34" s="46">
        <f>+V30</f>
        <v>450</v>
      </c>
    </row>
    <row r="36" spans="1:22" ht="18.75">
      <c r="A36" s="103" t="s">
        <v>53</v>
      </c>
      <c r="B36" s="106"/>
      <c r="C36" s="106"/>
      <c r="D36" s="106"/>
    </row>
    <row r="37" spans="1:22">
      <c r="A37" s="1" t="s">
        <v>4</v>
      </c>
      <c r="D37" s="53">
        <f>+D16</f>
        <v>22400</v>
      </c>
      <c r="G37" s="114" t="s">
        <v>5</v>
      </c>
      <c r="H37" s="115"/>
      <c r="I37" s="115"/>
      <c r="J37" s="116"/>
    </row>
    <row r="38" spans="1:22" ht="34.5" customHeight="1">
      <c r="A38" t="s">
        <v>6</v>
      </c>
      <c r="D38" s="17">
        <f>+(D12+D13)*9.45%</f>
        <v>2069.5499999999997</v>
      </c>
      <c r="G38" s="18" t="s">
        <v>7</v>
      </c>
      <c r="H38" s="19" t="s">
        <v>8</v>
      </c>
      <c r="I38" s="20" t="s">
        <v>9</v>
      </c>
      <c r="J38" s="21" t="s">
        <v>10</v>
      </c>
    </row>
    <row r="39" spans="1:22">
      <c r="A39" t="s">
        <v>11</v>
      </c>
      <c r="D39" s="15">
        <f>+D37-D38</f>
        <v>20330.45</v>
      </c>
      <c r="F39">
        <v>1</v>
      </c>
      <c r="G39" s="22">
        <v>0</v>
      </c>
      <c r="H39" s="37">
        <v>11310</v>
      </c>
      <c r="I39" s="22">
        <v>0</v>
      </c>
      <c r="J39" s="24">
        <v>0</v>
      </c>
    </row>
    <row r="40" spans="1:22">
      <c r="A40" t="s">
        <v>12</v>
      </c>
      <c r="D40" s="25">
        <v>18010.009999999998</v>
      </c>
      <c r="F40">
        <v>2</v>
      </c>
      <c r="G40" s="23">
        <v>11310.01</v>
      </c>
      <c r="H40" s="23">
        <v>14410</v>
      </c>
      <c r="I40" s="22">
        <v>0</v>
      </c>
      <c r="J40" s="24">
        <v>0.05</v>
      </c>
    </row>
    <row r="41" spans="1:22">
      <c r="A41" t="s">
        <v>13</v>
      </c>
      <c r="D41" s="15">
        <f>+D39-D40</f>
        <v>2320.4400000000023</v>
      </c>
      <c r="F41">
        <v>3</v>
      </c>
      <c r="G41" s="23">
        <v>14410.01</v>
      </c>
      <c r="H41" s="23">
        <v>18010</v>
      </c>
      <c r="I41" s="22">
        <v>155</v>
      </c>
      <c r="J41" s="24">
        <v>0.1</v>
      </c>
    </row>
    <row r="42" spans="1:22">
      <c r="A42" t="s">
        <v>14</v>
      </c>
      <c r="D42" s="26">
        <v>0.12</v>
      </c>
      <c r="F42">
        <v>4</v>
      </c>
      <c r="G42" s="27">
        <v>18010.009999999998</v>
      </c>
      <c r="H42" s="27">
        <v>21630</v>
      </c>
      <c r="I42" s="28">
        <v>515</v>
      </c>
      <c r="J42" s="29">
        <v>0.12</v>
      </c>
    </row>
    <row r="43" spans="1:22">
      <c r="A43" t="s">
        <v>13</v>
      </c>
      <c r="D43" s="2">
        <f>+D41*D42</f>
        <v>278.45280000000025</v>
      </c>
      <c r="F43">
        <v>5</v>
      </c>
      <c r="G43" s="23">
        <v>21630.01</v>
      </c>
      <c r="H43" s="23">
        <v>31630</v>
      </c>
      <c r="I43" s="22">
        <v>949</v>
      </c>
      <c r="J43" s="24">
        <v>0.15</v>
      </c>
    </row>
    <row r="44" spans="1:22">
      <c r="A44" t="s">
        <v>15</v>
      </c>
      <c r="D44" s="17">
        <v>515</v>
      </c>
      <c r="F44">
        <v>6</v>
      </c>
      <c r="G44" s="63">
        <v>31630.01</v>
      </c>
      <c r="H44" s="63">
        <v>41630</v>
      </c>
      <c r="I44" s="64">
        <v>2449</v>
      </c>
      <c r="J44" s="65">
        <v>0.2</v>
      </c>
    </row>
    <row r="45" spans="1:22">
      <c r="A45" t="s">
        <v>16</v>
      </c>
      <c r="D45" s="2">
        <f>+D43+D44</f>
        <v>793.45280000000025</v>
      </c>
      <c r="F45">
        <v>7</v>
      </c>
      <c r="G45" s="27">
        <v>41630.01</v>
      </c>
      <c r="H45" s="27">
        <v>51630</v>
      </c>
      <c r="I45" s="31">
        <v>4449</v>
      </c>
      <c r="J45" s="29">
        <v>0.25</v>
      </c>
    </row>
    <row r="46" spans="1:22">
      <c r="A46" t="s">
        <v>17</v>
      </c>
      <c r="D46" s="32">
        <f>+C34</f>
        <v>250</v>
      </c>
      <c r="F46">
        <v>8</v>
      </c>
      <c r="G46" s="27">
        <v>51630.01</v>
      </c>
      <c r="H46" s="27">
        <v>61630</v>
      </c>
      <c r="I46" s="31">
        <v>6949</v>
      </c>
      <c r="J46" s="29">
        <v>0.3</v>
      </c>
    </row>
    <row r="47" spans="1:22">
      <c r="A47" t="s">
        <v>18</v>
      </c>
      <c r="D47" s="33">
        <f>+D45-D46</f>
        <v>543.45280000000025</v>
      </c>
      <c r="F47">
        <v>9</v>
      </c>
      <c r="G47" s="27">
        <v>61630.01</v>
      </c>
      <c r="H47" s="27">
        <v>100000</v>
      </c>
      <c r="I47" s="31">
        <v>9949</v>
      </c>
      <c r="J47" s="29">
        <v>0.35</v>
      </c>
    </row>
    <row r="48" spans="1:22" ht="25.5">
      <c r="A48" t="s">
        <v>19</v>
      </c>
      <c r="D48" s="17">
        <f>D47/12</f>
        <v>45.287733333333357</v>
      </c>
      <c r="F48">
        <v>10</v>
      </c>
      <c r="G48" s="27">
        <v>100000.01</v>
      </c>
      <c r="H48" s="34" t="s">
        <v>20</v>
      </c>
      <c r="I48" s="28">
        <v>23379</v>
      </c>
      <c r="J48" s="29">
        <v>0.37</v>
      </c>
    </row>
    <row r="49" spans="4:4">
      <c r="D49" s="15"/>
    </row>
  </sheetData>
  <mergeCells count="1">
    <mergeCell ref="G37:J37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49A600-D8C3-45CB-A70A-55565F6AE9B9}">
  <sheetPr>
    <tabColor theme="4" tint="-0.249977111117893"/>
  </sheetPr>
  <dimension ref="A1:V49"/>
  <sheetViews>
    <sheetView zoomScale="85" zoomScaleNormal="85" workbookViewId="0">
      <selection activeCell="B28" sqref="B28"/>
    </sheetView>
  </sheetViews>
  <sheetFormatPr baseColWidth="10" defaultRowHeight="15"/>
  <sheetData>
    <row r="1" spans="1:11">
      <c r="A1" t="s">
        <v>51</v>
      </c>
    </row>
    <row r="3" spans="1:11">
      <c r="A3" t="s">
        <v>22</v>
      </c>
    </row>
    <row r="4" spans="1:11">
      <c r="A4" t="s">
        <v>23</v>
      </c>
    </row>
    <row r="5" spans="1:11">
      <c r="A5" t="s">
        <v>24</v>
      </c>
    </row>
    <row r="6" spans="1:11">
      <c r="A6" t="s">
        <v>25</v>
      </c>
    </row>
    <row r="8" spans="1:11">
      <c r="A8" t="s">
        <v>54</v>
      </c>
    </row>
    <row r="10" spans="1:11">
      <c r="A10" t="s">
        <v>2</v>
      </c>
      <c r="C10" t="s">
        <v>31</v>
      </c>
      <c r="D10" t="s">
        <v>32</v>
      </c>
      <c r="F10" t="s">
        <v>37</v>
      </c>
      <c r="H10" t="s">
        <v>31</v>
      </c>
      <c r="I10" t="s">
        <v>32</v>
      </c>
    </row>
    <row r="12" spans="1:11">
      <c r="A12" t="s">
        <v>27</v>
      </c>
      <c r="C12" s="50">
        <v>1800</v>
      </c>
      <c r="D12" s="50">
        <f>+C12*12</f>
        <v>21600</v>
      </c>
      <c r="F12" t="s">
        <v>29</v>
      </c>
      <c r="H12" s="2">
        <f>+C12/12</f>
        <v>150</v>
      </c>
      <c r="I12" s="50">
        <f>+H12*12</f>
        <v>1800</v>
      </c>
      <c r="K12" t="s">
        <v>34</v>
      </c>
    </row>
    <row r="13" spans="1:11">
      <c r="A13" t="s">
        <v>28</v>
      </c>
      <c r="C13">
        <v>0</v>
      </c>
      <c r="D13" s="50">
        <f>+C13*12</f>
        <v>0</v>
      </c>
      <c r="F13" t="s">
        <v>3</v>
      </c>
      <c r="H13" s="2">
        <f>425/12</f>
        <v>35.416666666666664</v>
      </c>
      <c r="I13" s="50">
        <f t="shared" ref="I13:I14" si="0">+H13*12</f>
        <v>425</v>
      </c>
      <c r="K13" t="s">
        <v>35</v>
      </c>
    </row>
    <row r="14" spans="1:11">
      <c r="A14" t="s">
        <v>0</v>
      </c>
      <c r="D14" s="50">
        <v>200</v>
      </c>
      <c r="F14" t="s">
        <v>30</v>
      </c>
      <c r="H14" s="2">
        <f>+C12*8.33%</f>
        <v>149.94</v>
      </c>
      <c r="I14" s="50">
        <f t="shared" si="0"/>
        <v>1799.28</v>
      </c>
      <c r="K14" t="s">
        <v>36</v>
      </c>
    </row>
    <row r="16" spans="1:11">
      <c r="B16" t="s">
        <v>33</v>
      </c>
      <c r="D16" s="51">
        <f>SUM(D12:D15)</f>
        <v>21800</v>
      </c>
      <c r="I16" s="51">
        <f>SUM(I12:I15)</f>
        <v>4024.2799999999997</v>
      </c>
    </row>
    <row r="18" spans="1:22">
      <c r="E18" t="s">
        <v>38</v>
      </c>
      <c r="H18" s="51">
        <f>+D16+I16</f>
        <v>25824.28</v>
      </c>
      <c r="I18" t="s">
        <v>39</v>
      </c>
    </row>
    <row r="19" spans="1:22">
      <c r="H19" s="51"/>
    </row>
    <row r="20" spans="1:22" ht="15.75" thickBot="1">
      <c r="A20" t="s">
        <v>42</v>
      </c>
      <c r="B20" s="38">
        <v>11310</v>
      </c>
      <c r="D20">
        <f>11310*2.13</f>
        <v>24090.3</v>
      </c>
    </row>
    <row r="21" spans="1:22">
      <c r="A21" s="3" t="s">
        <v>1</v>
      </c>
      <c r="B21" s="4"/>
      <c r="C21" s="4"/>
      <c r="D21" s="5">
        <v>24090.3</v>
      </c>
      <c r="E21" s="6"/>
      <c r="K21" s="36" t="s">
        <v>21</v>
      </c>
      <c r="L21" s="36" t="s">
        <v>21</v>
      </c>
      <c r="M21" s="52">
        <v>44531</v>
      </c>
    </row>
    <row r="22" spans="1:22">
      <c r="A22" s="7" t="s">
        <v>40</v>
      </c>
      <c r="B22" s="8"/>
      <c r="C22" s="8"/>
      <c r="D22" s="9">
        <v>0.1</v>
      </c>
      <c r="E22" s="10">
        <v>503.75500000000005</v>
      </c>
      <c r="F22" t="s">
        <v>52</v>
      </c>
      <c r="K22" s="39">
        <f>+L22*7</f>
        <v>5037.55</v>
      </c>
      <c r="L22" s="39">
        <v>719.65</v>
      </c>
    </row>
    <row r="23" spans="1:22" ht="15.75" thickBot="1">
      <c r="A23" s="11" t="s">
        <v>41</v>
      </c>
      <c r="B23" s="12"/>
      <c r="C23" s="12"/>
      <c r="D23" s="13">
        <v>0.2</v>
      </c>
      <c r="E23" s="14">
        <v>1007.5100000000001</v>
      </c>
    </row>
    <row r="25" spans="1:22" ht="19.5" thickBot="1">
      <c r="A25" s="103" t="s">
        <v>59</v>
      </c>
      <c r="B25" s="106"/>
      <c r="C25" s="106"/>
      <c r="D25" s="106"/>
    </row>
    <row r="26" spans="1:22">
      <c r="A26" t="s">
        <v>44</v>
      </c>
      <c r="C26" s="53">
        <f>+H18</f>
        <v>25824.28</v>
      </c>
      <c r="S26" s="56">
        <v>20000</v>
      </c>
      <c r="T26" s="57">
        <v>14000</v>
      </c>
      <c r="U26" s="57">
        <v>18000</v>
      </c>
      <c r="V26" s="58">
        <v>30000</v>
      </c>
    </row>
    <row r="27" spans="1:22">
      <c r="A27" t="s">
        <v>45</v>
      </c>
      <c r="C27" s="2">
        <v>500</v>
      </c>
      <c r="S27" s="42">
        <v>5000</v>
      </c>
      <c r="T27" s="35">
        <v>500</v>
      </c>
      <c r="U27" s="35">
        <v>6000</v>
      </c>
      <c r="V27" s="43">
        <v>4500</v>
      </c>
    </row>
    <row r="28" spans="1:22">
      <c r="A28" t="s">
        <v>50</v>
      </c>
      <c r="C28" s="16">
        <v>5037.55</v>
      </c>
      <c r="S28" s="59">
        <v>5037.55</v>
      </c>
      <c r="T28" s="54">
        <v>5037.55</v>
      </c>
      <c r="U28" s="54">
        <v>5037.55</v>
      </c>
      <c r="V28" s="60">
        <v>5037.55</v>
      </c>
    </row>
    <row r="29" spans="1:22">
      <c r="A29" t="s">
        <v>47</v>
      </c>
      <c r="C29" s="41">
        <v>0.1</v>
      </c>
      <c r="S29" s="61">
        <v>0.2</v>
      </c>
      <c r="T29" s="55">
        <v>0.2</v>
      </c>
      <c r="U29" s="55">
        <v>0.2</v>
      </c>
      <c r="V29" s="62">
        <v>0.1</v>
      </c>
    </row>
    <row r="30" spans="1:22">
      <c r="A30" t="s">
        <v>48</v>
      </c>
      <c r="C30" s="2">
        <f>+C27*C29</f>
        <v>50</v>
      </c>
      <c r="S30" s="42">
        <f>+S27*S29</f>
        <v>1000</v>
      </c>
      <c r="T30" s="35">
        <f>+T27*T29</f>
        <v>100</v>
      </c>
      <c r="U30" s="35">
        <f>+U27*U29</f>
        <v>1200</v>
      </c>
      <c r="V30" s="43">
        <f>+V27*V29</f>
        <v>450</v>
      </c>
    </row>
    <row r="31" spans="1:22">
      <c r="A31" t="s">
        <v>49</v>
      </c>
      <c r="C31" s="2">
        <f>+C28*C29</f>
        <v>503.75500000000005</v>
      </c>
      <c r="S31" s="42">
        <f>+S28*S29</f>
        <v>1007.5100000000001</v>
      </c>
      <c r="T31" s="35">
        <f>+T28*T29</f>
        <v>1007.5100000000001</v>
      </c>
      <c r="U31" s="35">
        <f>+U28*U29</f>
        <v>1007.5100000000001</v>
      </c>
      <c r="V31" s="43">
        <f>+V28*V29</f>
        <v>503.75500000000005</v>
      </c>
    </row>
    <row r="32" spans="1:22">
      <c r="C32" s="2"/>
      <c r="S32" s="42"/>
      <c r="T32" s="35"/>
      <c r="U32" s="35"/>
      <c r="V32" s="43"/>
    </row>
    <row r="33" spans="1:22">
      <c r="C33" s="2"/>
      <c r="S33" s="42"/>
      <c r="T33" s="35"/>
      <c r="U33" s="35"/>
      <c r="V33" s="43"/>
    </row>
    <row r="34" spans="1:22" ht="15.75" thickBot="1">
      <c r="A34" t="s">
        <v>46</v>
      </c>
      <c r="C34" s="40">
        <f>+C30</f>
        <v>50</v>
      </c>
      <c r="S34" s="44">
        <f>+S30</f>
        <v>1000</v>
      </c>
      <c r="T34" s="45">
        <f>+T30</f>
        <v>100</v>
      </c>
      <c r="U34" s="45">
        <f>+U31</f>
        <v>1007.5100000000001</v>
      </c>
      <c r="V34" s="46">
        <f>+V30</f>
        <v>450</v>
      </c>
    </row>
    <row r="36" spans="1:22" ht="18.75">
      <c r="A36" s="103" t="s">
        <v>53</v>
      </c>
      <c r="B36" s="106"/>
      <c r="C36" s="106"/>
      <c r="D36" s="106"/>
    </row>
    <row r="37" spans="1:22">
      <c r="A37" s="1" t="s">
        <v>4</v>
      </c>
      <c r="D37" s="53">
        <f>+D16</f>
        <v>21800</v>
      </c>
      <c r="G37" s="114" t="s">
        <v>5</v>
      </c>
      <c r="H37" s="115"/>
      <c r="I37" s="115"/>
      <c r="J37" s="116"/>
    </row>
    <row r="38" spans="1:22" ht="34.5" customHeight="1">
      <c r="A38" t="s">
        <v>6</v>
      </c>
      <c r="D38" s="17">
        <f>+(D12+D13)*9.45%</f>
        <v>2041.1999999999998</v>
      </c>
      <c r="G38" s="18" t="s">
        <v>7</v>
      </c>
      <c r="H38" s="19" t="s">
        <v>8</v>
      </c>
      <c r="I38" s="20" t="s">
        <v>9</v>
      </c>
      <c r="J38" s="21" t="s">
        <v>10</v>
      </c>
    </row>
    <row r="39" spans="1:22">
      <c r="A39" t="s">
        <v>11</v>
      </c>
      <c r="D39" s="15">
        <f>+D37-D38</f>
        <v>19758.8</v>
      </c>
      <c r="F39">
        <v>1</v>
      </c>
      <c r="G39" s="22">
        <v>0</v>
      </c>
      <c r="H39" s="37">
        <v>11310</v>
      </c>
      <c r="I39" s="22">
        <v>0</v>
      </c>
      <c r="J39" s="24">
        <v>0</v>
      </c>
    </row>
    <row r="40" spans="1:22">
      <c r="A40" t="s">
        <v>12</v>
      </c>
      <c r="D40" s="25">
        <v>18010.009999999998</v>
      </c>
      <c r="F40">
        <v>2</v>
      </c>
      <c r="G40" s="23">
        <v>11310.01</v>
      </c>
      <c r="H40" s="23">
        <v>14410</v>
      </c>
      <c r="I40" s="22">
        <v>0</v>
      </c>
      <c r="J40" s="24">
        <v>0.05</v>
      </c>
    </row>
    <row r="41" spans="1:22">
      <c r="A41" t="s">
        <v>13</v>
      </c>
      <c r="D41" s="15">
        <f>+D39-D40</f>
        <v>1748.7900000000009</v>
      </c>
      <c r="F41">
        <v>3</v>
      </c>
      <c r="G41" s="23">
        <v>14410.01</v>
      </c>
      <c r="H41" s="23">
        <v>18010</v>
      </c>
      <c r="I41" s="22">
        <v>155</v>
      </c>
      <c r="J41" s="24">
        <v>0.1</v>
      </c>
    </row>
    <row r="42" spans="1:22">
      <c r="A42" t="s">
        <v>14</v>
      </c>
      <c r="D42" s="26">
        <v>0.12</v>
      </c>
      <c r="F42">
        <v>4</v>
      </c>
      <c r="G42" s="27">
        <v>18010.009999999998</v>
      </c>
      <c r="H42" s="27">
        <v>21630</v>
      </c>
      <c r="I42" s="28">
        <v>515</v>
      </c>
      <c r="J42" s="29">
        <v>0.12</v>
      </c>
    </row>
    <row r="43" spans="1:22">
      <c r="A43" t="s">
        <v>13</v>
      </c>
      <c r="D43" s="2">
        <f>+D41*D42</f>
        <v>209.8548000000001</v>
      </c>
      <c r="F43">
        <v>5</v>
      </c>
      <c r="G43" s="23">
        <v>21630.01</v>
      </c>
      <c r="H43" s="23">
        <v>31630</v>
      </c>
      <c r="I43" s="22">
        <v>949</v>
      </c>
      <c r="J43" s="24">
        <v>0.15</v>
      </c>
    </row>
    <row r="44" spans="1:22">
      <c r="A44" t="s">
        <v>15</v>
      </c>
      <c r="D44" s="17">
        <v>515</v>
      </c>
      <c r="F44">
        <v>6</v>
      </c>
      <c r="G44" s="63">
        <v>31630.01</v>
      </c>
      <c r="H44" s="63">
        <v>41630</v>
      </c>
      <c r="I44" s="64">
        <v>2449</v>
      </c>
      <c r="J44" s="65">
        <v>0.2</v>
      </c>
    </row>
    <row r="45" spans="1:22">
      <c r="A45" t="s">
        <v>16</v>
      </c>
      <c r="D45" s="2">
        <f>+D43+D44</f>
        <v>724.85480000000007</v>
      </c>
      <c r="F45">
        <v>7</v>
      </c>
      <c r="G45" s="27">
        <v>41630.01</v>
      </c>
      <c r="H45" s="27">
        <v>51630</v>
      </c>
      <c r="I45" s="31">
        <v>4449</v>
      </c>
      <c r="J45" s="29">
        <v>0.25</v>
      </c>
    </row>
    <row r="46" spans="1:22">
      <c r="A46" t="s">
        <v>17</v>
      </c>
      <c r="D46" s="32">
        <f>+C34</f>
        <v>50</v>
      </c>
      <c r="F46">
        <v>8</v>
      </c>
      <c r="G46" s="27">
        <v>51630.01</v>
      </c>
      <c r="H46" s="27">
        <v>61630</v>
      </c>
      <c r="I46" s="31">
        <v>6949</v>
      </c>
      <c r="J46" s="29">
        <v>0.3</v>
      </c>
    </row>
    <row r="47" spans="1:22">
      <c r="A47" t="s">
        <v>18</v>
      </c>
      <c r="D47" s="33">
        <f>+D45-D46</f>
        <v>674.85480000000007</v>
      </c>
      <c r="F47">
        <v>9</v>
      </c>
      <c r="G47" s="27">
        <v>61630.01</v>
      </c>
      <c r="H47" s="27">
        <v>100000</v>
      </c>
      <c r="I47" s="31">
        <v>9949</v>
      </c>
      <c r="J47" s="29">
        <v>0.35</v>
      </c>
    </row>
    <row r="48" spans="1:22" ht="25.5">
      <c r="A48" t="s">
        <v>55</v>
      </c>
      <c r="D48" s="17">
        <f>'EJ 2_1'!D48*11</f>
        <v>498.16506666666692</v>
      </c>
      <c r="F48">
        <v>10</v>
      </c>
      <c r="G48" s="27">
        <v>100000.01</v>
      </c>
      <c r="H48" s="34" t="s">
        <v>20</v>
      </c>
      <c r="I48" s="28">
        <v>23379</v>
      </c>
      <c r="J48" s="29">
        <v>0.37</v>
      </c>
    </row>
    <row r="49" spans="1:4">
      <c r="A49" t="s">
        <v>56</v>
      </c>
      <c r="D49" s="15">
        <f>D47-D48</f>
        <v>176.68973333333315</v>
      </c>
    </row>
  </sheetData>
  <mergeCells count="1">
    <mergeCell ref="G37:J3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6DB56-47D8-44C0-86C7-FBDA1AD60DC3}">
  <dimension ref="A2:R39"/>
  <sheetViews>
    <sheetView tabSelected="1" topLeftCell="A40" zoomScale="85" zoomScaleNormal="85" workbookViewId="0">
      <selection activeCell="I68" sqref="I68"/>
    </sheetView>
  </sheetViews>
  <sheetFormatPr baseColWidth="10" defaultRowHeight="15"/>
  <cols>
    <col min="2" max="2" width="19.42578125" customWidth="1"/>
    <col min="3" max="3" width="13.42578125" customWidth="1"/>
  </cols>
  <sheetData>
    <row r="2" spans="1:18">
      <c r="A2" s="36" t="s">
        <v>93</v>
      </c>
    </row>
    <row r="4" spans="1:18">
      <c r="A4" t="s">
        <v>94</v>
      </c>
      <c r="C4" t="s">
        <v>95</v>
      </c>
    </row>
    <row r="5" spans="1:18">
      <c r="A5" t="s">
        <v>96</v>
      </c>
      <c r="C5" t="s">
        <v>97</v>
      </c>
      <c r="E5" t="s">
        <v>98</v>
      </c>
    </row>
    <row r="7" spans="1:18">
      <c r="A7" t="s">
        <v>99</v>
      </c>
    </row>
    <row r="9" spans="1:18">
      <c r="A9" s="117" t="s">
        <v>100</v>
      </c>
      <c r="B9" s="118"/>
      <c r="C9" s="118"/>
      <c r="D9" s="118"/>
      <c r="E9" s="118"/>
      <c r="F9" s="118"/>
      <c r="G9" s="118"/>
      <c r="H9" s="118"/>
      <c r="I9" s="118"/>
      <c r="J9" s="118"/>
      <c r="K9" s="118"/>
    </row>
    <row r="10" spans="1:18" ht="30">
      <c r="A10" s="119" t="s">
        <v>101</v>
      </c>
      <c r="B10" s="119" t="s">
        <v>102</v>
      </c>
      <c r="C10" s="119" t="s">
        <v>103</v>
      </c>
      <c r="D10" s="119" t="s">
        <v>104</v>
      </c>
      <c r="E10" s="119" t="s">
        <v>105</v>
      </c>
      <c r="F10" s="119" t="s">
        <v>106</v>
      </c>
      <c r="G10" s="119" t="s">
        <v>107</v>
      </c>
      <c r="H10" s="119" t="s">
        <v>108</v>
      </c>
      <c r="J10" s="119" t="s">
        <v>109</v>
      </c>
      <c r="K10" s="119" t="s">
        <v>110</v>
      </c>
      <c r="L10" s="119" t="s">
        <v>33</v>
      </c>
      <c r="N10" s="120" t="s">
        <v>111</v>
      </c>
      <c r="O10" s="121"/>
      <c r="P10" s="121"/>
    </row>
    <row r="11" spans="1:18">
      <c r="A11" s="122">
        <v>43863</v>
      </c>
      <c r="B11" s="123" t="s">
        <v>112</v>
      </c>
      <c r="C11" s="123" t="s">
        <v>113</v>
      </c>
      <c r="D11" s="124">
        <v>1000</v>
      </c>
      <c r="E11" s="124"/>
      <c r="F11" s="124">
        <f>+D11*0.12</f>
        <v>120</v>
      </c>
      <c r="G11" s="124">
        <f>+D11+F11</f>
        <v>1120</v>
      </c>
      <c r="H11" s="123" t="s">
        <v>114</v>
      </c>
      <c r="J11" s="123">
        <f>+F11*0.7</f>
        <v>84</v>
      </c>
      <c r="K11" s="124">
        <f>+D11*2.75%</f>
        <v>27.5</v>
      </c>
      <c r="L11" s="125">
        <f>+J11+K11</f>
        <v>111.5</v>
      </c>
      <c r="N11" t="s">
        <v>115</v>
      </c>
      <c r="R11">
        <v>0</v>
      </c>
    </row>
    <row r="12" spans="1:18">
      <c r="A12" s="122">
        <v>43956</v>
      </c>
      <c r="B12" s="123" t="s">
        <v>112</v>
      </c>
      <c r="C12" s="123" t="s">
        <v>116</v>
      </c>
      <c r="D12" s="124">
        <v>500</v>
      </c>
      <c r="E12" s="124"/>
      <c r="F12" s="124">
        <f>+D12*0.12</f>
        <v>60</v>
      </c>
      <c r="G12" s="124">
        <f>+D12+F12</f>
        <v>560</v>
      </c>
      <c r="H12" s="123" t="s">
        <v>114</v>
      </c>
      <c r="J12" s="123"/>
      <c r="K12" s="124"/>
      <c r="L12" s="125"/>
      <c r="N12" t="s">
        <v>117</v>
      </c>
      <c r="R12" s="15">
        <f>+F19</f>
        <v>270</v>
      </c>
    </row>
    <row r="13" spans="1:18">
      <c r="A13" s="122">
        <v>43961</v>
      </c>
      <c r="B13" s="123" t="s">
        <v>112</v>
      </c>
      <c r="C13" s="123" t="s">
        <v>118</v>
      </c>
      <c r="D13" s="124">
        <v>750</v>
      </c>
      <c r="E13" s="124"/>
      <c r="F13" s="124">
        <f>+D13*0.12</f>
        <v>90</v>
      </c>
      <c r="G13" s="124">
        <f>+D13+F13</f>
        <v>840</v>
      </c>
      <c r="H13" s="123" t="s">
        <v>114</v>
      </c>
      <c r="J13" s="124"/>
      <c r="K13" s="124"/>
      <c r="L13" s="124"/>
      <c r="N13" t="s">
        <v>119</v>
      </c>
      <c r="R13" s="126">
        <f>+F33</f>
        <v>150</v>
      </c>
    </row>
    <row r="14" spans="1:18">
      <c r="C14" s="36"/>
      <c r="D14" s="127">
        <f>SUM(D11:D13)</f>
        <v>2250</v>
      </c>
      <c r="E14" s="127">
        <f>SUM(E11:E13)</f>
        <v>0</v>
      </c>
      <c r="F14" s="127">
        <f>SUM(F11:F13)</f>
        <v>270</v>
      </c>
      <c r="G14" s="127">
        <f>SUM(G11:G13)</f>
        <v>2520</v>
      </c>
      <c r="H14" s="123"/>
      <c r="J14" s="127">
        <f>SUM(J11:J13)</f>
        <v>84</v>
      </c>
      <c r="K14" s="127">
        <f>SUM(K11:K13)</f>
        <v>27.5</v>
      </c>
      <c r="L14" s="127">
        <f>SUM(L11:L13)</f>
        <v>111.5</v>
      </c>
      <c r="N14" t="s">
        <v>120</v>
      </c>
      <c r="R14" s="128">
        <f>+R11+R12-R13</f>
        <v>120</v>
      </c>
    </row>
    <row r="15" spans="1:18">
      <c r="A15" s="36" t="s">
        <v>121</v>
      </c>
      <c r="N15" t="s">
        <v>122</v>
      </c>
    </row>
    <row r="16" spans="1:18" ht="30">
      <c r="A16" s="119" t="s">
        <v>101</v>
      </c>
      <c r="B16" s="119" t="s">
        <v>102</v>
      </c>
      <c r="C16" s="119" t="s">
        <v>103</v>
      </c>
      <c r="D16" s="119" t="s">
        <v>104</v>
      </c>
      <c r="E16" s="119" t="s">
        <v>105</v>
      </c>
      <c r="F16" s="119" t="s">
        <v>106</v>
      </c>
      <c r="G16" s="119" t="s">
        <v>107</v>
      </c>
      <c r="N16" t="s">
        <v>123</v>
      </c>
      <c r="R16">
        <v>0</v>
      </c>
    </row>
    <row r="17" spans="1:18">
      <c r="A17" s="122"/>
      <c r="B17" s="123"/>
      <c r="C17" s="123"/>
      <c r="D17" s="124"/>
      <c r="E17" s="124"/>
      <c r="F17" s="124"/>
      <c r="G17" s="124"/>
      <c r="J17" s="129" t="s">
        <v>124</v>
      </c>
      <c r="N17" t="s">
        <v>125</v>
      </c>
      <c r="R17">
        <v>0</v>
      </c>
    </row>
    <row r="18" spans="1:18">
      <c r="C18" s="36" t="s">
        <v>33</v>
      </c>
      <c r="D18" s="127">
        <f>+D17</f>
        <v>0</v>
      </c>
      <c r="E18" s="127">
        <f>+E17</f>
        <v>0</v>
      </c>
      <c r="F18" s="127">
        <f>+F17</f>
        <v>0</v>
      </c>
      <c r="G18" s="127">
        <f>+G17</f>
        <v>0</v>
      </c>
      <c r="J18" s="129" t="s">
        <v>126</v>
      </c>
      <c r="N18" t="s">
        <v>127</v>
      </c>
      <c r="R18" s="126">
        <f>+J14</f>
        <v>84</v>
      </c>
    </row>
    <row r="19" spans="1:18">
      <c r="A19" s="130" t="s">
        <v>128</v>
      </c>
      <c r="B19" s="131"/>
      <c r="C19" s="131"/>
      <c r="D19" s="132">
        <f>+D14-D18</f>
        <v>2250</v>
      </c>
      <c r="E19" s="132">
        <f>+E14-E18</f>
        <v>0</v>
      </c>
      <c r="F19" s="132">
        <f>+F14-F18</f>
        <v>270</v>
      </c>
      <c r="G19" s="132">
        <f>+G14-G18</f>
        <v>2520</v>
      </c>
    </row>
    <row r="20" spans="1:18">
      <c r="A20" s="36" t="s">
        <v>129</v>
      </c>
      <c r="N20" t="s">
        <v>130</v>
      </c>
      <c r="R20" s="128">
        <f>+R14-R16-R17-R18</f>
        <v>36</v>
      </c>
    </row>
    <row r="21" spans="1:18">
      <c r="A21" s="117" t="s">
        <v>131</v>
      </c>
      <c r="B21" s="118"/>
      <c r="C21" s="118"/>
      <c r="D21" s="118"/>
      <c r="E21" s="118"/>
      <c r="F21" s="118"/>
      <c r="G21" s="118"/>
      <c r="H21" s="118"/>
      <c r="I21" s="118"/>
      <c r="J21" s="118"/>
      <c r="K21" s="118"/>
      <c r="N21" t="s">
        <v>122</v>
      </c>
    </row>
    <row r="22" spans="1:18" ht="30">
      <c r="A22" s="119" t="s">
        <v>101</v>
      </c>
      <c r="B22" s="119" t="s">
        <v>102</v>
      </c>
      <c r="C22" s="119" t="s">
        <v>103</v>
      </c>
      <c r="D22" s="119" t="s">
        <v>104</v>
      </c>
      <c r="E22" s="119" t="s">
        <v>105</v>
      </c>
      <c r="F22" s="119" t="s">
        <v>106</v>
      </c>
      <c r="G22" s="119" t="s">
        <v>107</v>
      </c>
      <c r="I22" s="133" t="s">
        <v>109</v>
      </c>
      <c r="J22" s="133" t="s">
        <v>110</v>
      </c>
      <c r="K22" s="133" t="s">
        <v>33</v>
      </c>
    </row>
    <row r="23" spans="1:18" ht="16.5" customHeight="1">
      <c r="A23" s="122">
        <v>44682</v>
      </c>
      <c r="B23" s="123" t="s">
        <v>112</v>
      </c>
      <c r="C23" s="134" t="s">
        <v>132</v>
      </c>
      <c r="D23" s="124">
        <v>550</v>
      </c>
      <c r="E23" s="124"/>
      <c r="F23" s="124">
        <f>+D23*0.12</f>
        <v>66</v>
      </c>
      <c r="G23" s="124">
        <f>+D23+E23+F23</f>
        <v>616</v>
      </c>
      <c r="I23" s="135"/>
      <c r="J23" s="136"/>
      <c r="K23" s="137"/>
    </row>
    <row r="24" spans="1:18">
      <c r="A24" s="122">
        <v>44683</v>
      </c>
      <c r="B24" s="123" t="s">
        <v>112</v>
      </c>
      <c r="C24" s="134" t="s">
        <v>133</v>
      </c>
      <c r="D24" s="124">
        <v>700</v>
      </c>
      <c r="E24" s="124"/>
      <c r="F24" s="124">
        <f>+D24*0.12</f>
        <v>84</v>
      </c>
      <c r="G24" s="124">
        <f>+D24+E24+F24</f>
        <v>784</v>
      </c>
      <c r="I24" s="135"/>
      <c r="J24" s="136"/>
      <c r="K24" s="137"/>
    </row>
    <row r="25" spans="1:18">
      <c r="A25" s="122"/>
      <c r="B25" s="123"/>
      <c r="C25" s="134"/>
      <c r="D25" s="124"/>
      <c r="E25" s="124"/>
      <c r="F25" s="124"/>
      <c r="G25" s="124">
        <f>+D25+E25+F25</f>
        <v>0</v>
      </c>
      <c r="I25" s="136"/>
      <c r="J25" s="136"/>
      <c r="K25" s="136"/>
    </row>
    <row r="26" spans="1:18" ht="17.25" customHeight="1">
      <c r="C26" s="36" t="s">
        <v>33</v>
      </c>
      <c r="D26" s="127">
        <f>SUM(D23:D25)</f>
        <v>1250</v>
      </c>
      <c r="E26" s="127">
        <f>SUM(E23:E25)</f>
        <v>0</v>
      </c>
      <c r="F26" s="127">
        <f>SUM(F23:F25)</f>
        <v>150</v>
      </c>
      <c r="G26" s="127">
        <f>SUM(G23:G25)</f>
        <v>1400</v>
      </c>
      <c r="I26" s="138" t="s">
        <v>134</v>
      </c>
    </row>
    <row r="27" spans="1:18" ht="15" customHeight="1">
      <c r="A27" s="36" t="s">
        <v>121</v>
      </c>
    </row>
    <row r="29" spans="1:18" ht="30">
      <c r="A29" s="119" t="s">
        <v>101</v>
      </c>
      <c r="B29" s="119" t="s">
        <v>102</v>
      </c>
      <c r="C29" s="119" t="s">
        <v>103</v>
      </c>
      <c r="D29" s="119" t="s">
        <v>104</v>
      </c>
      <c r="E29" s="119" t="s">
        <v>105</v>
      </c>
      <c r="F29" s="119" t="s">
        <v>106</v>
      </c>
      <c r="G29" s="119" t="s">
        <v>107</v>
      </c>
    </row>
    <row r="30" spans="1:18" ht="15" customHeight="1">
      <c r="A30" s="122"/>
      <c r="B30" s="123"/>
      <c r="C30" s="123"/>
      <c r="D30" s="124"/>
      <c r="E30" s="124"/>
      <c r="F30" s="124"/>
      <c r="G30" s="124"/>
    </row>
    <row r="31" spans="1:18">
      <c r="C31" s="36" t="s">
        <v>33</v>
      </c>
      <c r="D31" s="127">
        <f>+D30</f>
        <v>0</v>
      </c>
      <c r="E31" s="127">
        <f>+E30</f>
        <v>0</v>
      </c>
      <c r="F31" s="127">
        <f>+F30</f>
        <v>0</v>
      </c>
      <c r="G31" s="127">
        <f>+G30</f>
        <v>0</v>
      </c>
    </row>
    <row r="33" spans="1:7">
      <c r="A33" s="130" t="s">
        <v>135</v>
      </c>
      <c r="B33" s="131"/>
      <c r="C33" s="131"/>
      <c r="D33" s="132">
        <f>+D26-D31</f>
        <v>1250</v>
      </c>
      <c r="E33" s="132">
        <f>+E26-E31</f>
        <v>0</v>
      </c>
      <c r="F33" s="132">
        <f>+F26-F31</f>
        <v>150</v>
      </c>
      <c r="G33" s="132">
        <f>+G26-G31</f>
        <v>1400</v>
      </c>
    </row>
    <row r="34" spans="1:7">
      <c r="A34" s="36" t="s">
        <v>136</v>
      </c>
    </row>
    <row r="38" spans="1:7">
      <c r="A38" t="s">
        <v>137</v>
      </c>
    </row>
    <row r="39" spans="1:7">
      <c r="A39" t="s">
        <v>138</v>
      </c>
    </row>
  </sheetData>
  <mergeCells count="1">
    <mergeCell ref="N10:P10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BDD181-96E3-481C-953F-925C7F08494F}">
  <dimension ref="A2:R39"/>
  <sheetViews>
    <sheetView zoomScale="85" zoomScaleNormal="85" workbookViewId="0">
      <selection activeCell="I69" sqref="I69"/>
    </sheetView>
  </sheetViews>
  <sheetFormatPr baseColWidth="10" defaultRowHeight="15"/>
  <cols>
    <col min="1" max="1" width="11.42578125" style="139"/>
    <col min="2" max="2" width="19.42578125" style="139" customWidth="1"/>
    <col min="3" max="3" width="13.42578125" style="139" customWidth="1"/>
    <col min="4" max="16384" width="11.42578125" style="139"/>
  </cols>
  <sheetData>
    <row r="2" spans="1:18">
      <c r="A2" s="36" t="s">
        <v>93</v>
      </c>
    </row>
    <row r="4" spans="1:18">
      <c r="A4" s="139" t="s">
        <v>94</v>
      </c>
      <c r="C4" s="139" t="s">
        <v>95</v>
      </c>
    </row>
    <row r="5" spans="1:18">
      <c r="A5" s="139" t="s">
        <v>96</v>
      </c>
      <c r="C5" s="139" t="s">
        <v>97</v>
      </c>
      <c r="E5" s="139" t="s">
        <v>98</v>
      </c>
    </row>
    <row r="7" spans="1:18">
      <c r="A7" s="139" t="s">
        <v>99</v>
      </c>
    </row>
    <row r="9" spans="1:18">
      <c r="A9" s="117" t="s">
        <v>100</v>
      </c>
      <c r="B9" s="140"/>
      <c r="C9" s="140"/>
      <c r="D9" s="140"/>
      <c r="E9" s="140"/>
      <c r="F9" s="140"/>
      <c r="G9" s="140"/>
      <c r="H9" s="140"/>
      <c r="I9" s="140"/>
      <c r="J9" s="140"/>
      <c r="K9" s="140"/>
    </row>
    <row r="10" spans="1:18" ht="30">
      <c r="A10" s="119" t="s">
        <v>101</v>
      </c>
      <c r="B10" s="119" t="s">
        <v>102</v>
      </c>
      <c r="C10" s="119" t="s">
        <v>103</v>
      </c>
      <c r="D10" s="119" t="s">
        <v>104</v>
      </c>
      <c r="E10" s="119" t="s">
        <v>105</v>
      </c>
      <c r="F10" s="119" t="s">
        <v>106</v>
      </c>
      <c r="G10" s="119" t="s">
        <v>107</v>
      </c>
      <c r="H10" s="119" t="s">
        <v>108</v>
      </c>
      <c r="J10" s="119" t="s">
        <v>109</v>
      </c>
      <c r="K10" s="119" t="s">
        <v>110</v>
      </c>
      <c r="L10" s="119" t="s">
        <v>33</v>
      </c>
      <c r="N10" s="120" t="s">
        <v>111</v>
      </c>
      <c r="O10" s="121"/>
      <c r="P10" s="121"/>
    </row>
    <row r="11" spans="1:18">
      <c r="A11" s="141">
        <v>43863</v>
      </c>
      <c r="B11" s="142" t="s">
        <v>112</v>
      </c>
      <c r="C11" s="142" t="s">
        <v>113</v>
      </c>
      <c r="D11" s="124">
        <v>1120</v>
      </c>
      <c r="E11" s="124"/>
      <c r="F11" s="124">
        <f>+D11*0.12</f>
        <v>134.4</v>
      </c>
      <c r="G11" s="124">
        <f>+D11+F11</f>
        <v>1254.4000000000001</v>
      </c>
      <c r="H11" s="142" t="s">
        <v>114</v>
      </c>
      <c r="J11" s="142">
        <f>+F11*0.7</f>
        <v>94.08</v>
      </c>
      <c r="K11" s="124">
        <f>+D11*2.75%</f>
        <v>30.8</v>
      </c>
      <c r="L11" s="143">
        <f>+J11+K11</f>
        <v>124.88</v>
      </c>
      <c r="N11" s="139" t="s">
        <v>142</v>
      </c>
      <c r="R11" s="139">
        <v>0</v>
      </c>
    </row>
    <row r="12" spans="1:18">
      <c r="A12" s="141">
        <v>43956</v>
      </c>
      <c r="B12" s="142" t="s">
        <v>112</v>
      </c>
      <c r="C12" s="142" t="s">
        <v>116</v>
      </c>
      <c r="D12" s="124">
        <v>250</v>
      </c>
      <c r="E12" s="124"/>
      <c r="F12" s="124">
        <f>+D12*0.12</f>
        <v>30</v>
      </c>
      <c r="G12" s="124">
        <f>+D12+F12</f>
        <v>280</v>
      </c>
      <c r="H12" s="142" t="s">
        <v>114</v>
      </c>
      <c r="J12" s="142"/>
      <c r="K12" s="124"/>
      <c r="L12" s="143"/>
      <c r="N12" s="139" t="s">
        <v>117</v>
      </c>
      <c r="R12" s="144">
        <f>+F19</f>
        <v>195.84</v>
      </c>
    </row>
    <row r="13" spans="1:18">
      <c r="A13" s="141">
        <v>43961</v>
      </c>
      <c r="B13" s="142" t="s">
        <v>112</v>
      </c>
      <c r="C13" s="142" t="s">
        <v>118</v>
      </c>
      <c r="D13" s="124">
        <v>762</v>
      </c>
      <c r="E13" s="124"/>
      <c r="F13" s="124">
        <f>+D13*0.12</f>
        <v>91.44</v>
      </c>
      <c r="G13" s="124">
        <f>+D13+F13</f>
        <v>853.44</v>
      </c>
      <c r="H13" s="142" t="s">
        <v>114</v>
      </c>
      <c r="J13" s="124"/>
      <c r="K13" s="124"/>
      <c r="L13" s="124"/>
      <c r="N13" s="139" t="s">
        <v>119</v>
      </c>
      <c r="R13" s="145">
        <f>+F33</f>
        <v>234</v>
      </c>
    </row>
    <row r="14" spans="1:18">
      <c r="C14" s="36"/>
      <c r="D14" s="127">
        <f>SUM(D11:D13)</f>
        <v>2132</v>
      </c>
      <c r="E14" s="127">
        <f>SUM(E11:E13)</f>
        <v>0</v>
      </c>
      <c r="F14" s="127">
        <f>SUM(F11:F13)</f>
        <v>255.84</v>
      </c>
      <c r="G14" s="127">
        <f>SUM(G11:G13)</f>
        <v>2387.84</v>
      </c>
      <c r="H14" s="142"/>
      <c r="J14" s="127">
        <f>SUM(J11:J13)</f>
        <v>94.08</v>
      </c>
      <c r="K14" s="127">
        <f>SUM(K11:K13)</f>
        <v>30.8</v>
      </c>
      <c r="L14" s="127">
        <f>SUM(L11:L13)</f>
        <v>124.88</v>
      </c>
      <c r="N14" s="139" t="s">
        <v>120</v>
      </c>
    </row>
    <row r="15" spans="1:18">
      <c r="A15" s="36" t="s">
        <v>121</v>
      </c>
      <c r="N15" s="139" t="s">
        <v>122</v>
      </c>
      <c r="R15" s="146">
        <f>+R11+R12-R13</f>
        <v>-38.159999999999997</v>
      </c>
    </row>
    <row r="16" spans="1:18" ht="30">
      <c r="A16" s="119" t="s">
        <v>101</v>
      </c>
      <c r="B16" s="119" t="s">
        <v>102</v>
      </c>
      <c r="C16" s="119" t="s">
        <v>103</v>
      </c>
      <c r="D16" s="119" t="s">
        <v>104</v>
      </c>
      <c r="E16" s="119" t="s">
        <v>105</v>
      </c>
      <c r="F16" s="119" t="s">
        <v>106</v>
      </c>
      <c r="G16" s="119" t="s">
        <v>107</v>
      </c>
      <c r="N16" s="139" t="s">
        <v>123</v>
      </c>
      <c r="R16" s="139">
        <v>0</v>
      </c>
    </row>
    <row r="17" spans="1:18">
      <c r="A17" s="141"/>
      <c r="B17" s="142"/>
      <c r="C17" s="142"/>
      <c r="D17" s="124">
        <v>500</v>
      </c>
      <c r="E17" s="124"/>
      <c r="F17" s="124">
        <f>+D17*0.12</f>
        <v>60</v>
      </c>
      <c r="G17" s="124">
        <f>+D17+F17</f>
        <v>560</v>
      </c>
      <c r="J17" s="147" t="s">
        <v>124</v>
      </c>
      <c r="N17" s="139" t="s">
        <v>125</v>
      </c>
      <c r="R17" s="139">
        <v>0</v>
      </c>
    </row>
    <row r="18" spans="1:18">
      <c r="C18" s="36" t="s">
        <v>33</v>
      </c>
      <c r="D18" s="127">
        <f>+D17</f>
        <v>500</v>
      </c>
      <c r="E18" s="127">
        <f>+E17</f>
        <v>0</v>
      </c>
      <c r="F18" s="127">
        <f>+F17</f>
        <v>60</v>
      </c>
      <c r="G18" s="127">
        <f>+G17</f>
        <v>560</v>
      </c>
      <c r="J18" s="147" t="s">
        <v>126</v>
      </c>
      <c r="N18" s="139" t="s">
        <v>143</v>
      </c>
      <c r="R18" s="145">
        <f>+J14</f>
        <v>94.08</v>
      </c>
    </row>
    <row r="19" spans="1:18">
      <c r="A19" s="130" t="s">
        <v>128</v>
      </c>
      <c r="B19" s="148"/>
      <c r="C19" s="148"/>
      <c r="D19" s="132">
        <f>+D14-D18</f>
        <v>1632</v>
      </c>
      <c r="E19" s="132">
        <f>+E14-E18</f>
        <v>0</v>
      </c>
      <c r="F19" s="132">
        <f>+F14-F18</f>
        <v>195.84</v>
      </c>
      <c r="G19" s="132">
        <f>+G14-G18</f>
        <v>1827.8400000000001</v>
      </c>
    </row>
    <row r="20" spans="1:18">
      <c r="A20" s="36" t="s">
        <v>129</v>
      </c>
      <c r="N20" s="139" t="s">
        <v>130</v>
      </c>
      <c r="R20" s="146">
        <f>+R15-R16-R17-R18</f>
        <v>-132.24</v>
      </c>
    </row>
    <row r="21" spans="1:18">
      <c r="A21" s="117" t="s">
        <v>131</v>
      </c>
      <c r="B21" s="140"/>
      <c r="C21" s="140"/>
      <c r="D21" s="140"/>
      <c r="E21" s="140"/>
      <c r="F21" s="140"/>
      <c r="G21" s="140"/>
      <c r="H21" s="140"/>
      <c r="I21" s="140"/>
      <c r="J21" s="140"/>
      <c r="K21" s="140"/>
      <c r="N21" s="139" t="s">
        <v>122</v>
      </c>
    </row>
    <row r="22" spans="1:18" ht="30">
      <c r="A22" s="119" t="s">
        <v>101</v>
      </c>
      <c r="B22" s="119" t="s">
        <v>102</v>
      </c>
      <c r="C22" s="119" t="s">
        <v>103</v>
      </c>
      <c r="D22" s="119" t="s">
        <v>104</v>
      </c>
      <c r="E22" s="119" t="s">
        <v>105</v>
      </c>
      <c r="F22" s="119" t="s">
        <v>106</v>
      </c>
      <c r="G22" s="119" t="s">
        <v>107</v>
      </c>
      <c r="I22" s="133" t="s">
        <v>109</v>
      </c>
      <c r="J22" s="133" t="s">
        <v>110</v>
      </c>
      <c r="K22" s="133" t="s">
        <v>33</v>
      </c>
    </row>
    <row r="23" spans="1:18" ht="16.5" customHeight="1">
      <c r="A23" s="141">
        <v>44682</v>
      </c>
      <c r="B23" s="142" t="s">
        <v>112</v>
      </c>
      <c r="C23" s="149" t="s">
        <v>132</v>
      </c>
      <c r="D23" s="124">
        <v>1700</v>
      </c>
      <c r="E23" s="124"/>
      <c r="F23" s="124">
        <f>+D23*0.12</f>
        <v>204</v>
      </c>
      <c r="G23" s="124">
        <f>+D23+E23+F23</f>
        <v>1904</v>
      </c>
      <c r="I23" s="150"/>
      <c r="J23" s="136"/>
      <c r="K23" s="151"/>
      <c r="O23" s="139" t="s">
        <v>139</v>
      </c>
      <c r="R23" s="139">
        <v>38.159999999999997</v>
      </c>
    </row>
    <row r="24" spans="1:18">
      <c r="A24" s="141">
        <v>44683</v>
      </c>
      <c r="B24" s="142" t="s">
        <v>112</v>
      </c>
      <c r="C24" s="149" t="s">
        <v>133</v>
      </c>
      <c r="D24" s="124">
        <v>700</v>
      </c>
      <c r="E24" s="124"/>
      <c r="F24" s="124">
        <f>+D24*0.12</f>
        <v>84</v>
      </c>
      <c r="G24" s="124">
        <f>+D24+E24+F24</f>
        <v>784</v>
      </c>
      <c r="I24" s="150"/>
      <c r="J24" s="136"/>
      <c r="K24" s="151"/>
      <c r="O24" s="139" t="s">
        <v>140</v>
      </c>
      <c r="R24" s="139">
        <v>94.08</v>
      </c>
    </row>
    <row r="25" spans="1:18">
      <c r="A25" s="141"/>
      <c r="B25" s="142"/>
      <c r="C25" s="149"/>
      <c r="D25" s="124"/>
      <c r="E25" s="124"/>
      <c r="F25" s="124"/>
      <c r="G25" s="124">
        <f>+D25+E25+F25</f>
        <v>0</v>
      </c>
      <c r="I25" s="136"/>
      <c r="J25" s="136"/>
      <c r="K25" s="136"/>
    </row>
    <row r="26" spans="1:18" ht="17.25" customHeight="1">
      <c r="C26" s="36" t="s">
        <v>33</v>
      </c>
      <c r="D26" s="127">
        <f>SUM(D23:D25)</f>
        <v>2400</v>
      </c>
      <c r="E26" s="127">
        <f>SUM(E23:E25)</f>
        <v>0</v>
      </c>
      <c r="F26" s="127">
        <f>SUM(F23:F25)</f>
        <v>288</v>
      </c>
      <c r="G26" s="127">
        <f>SUM(G23:G25)</f>
        <v>2688</v>
      </c>
      <c r="I26" s="138" t="s">
        <v>134</v>
      </c>
    </row>
    <row r="27" spans="1:18" ht="15" customHeight="1">
      <c r="A27" s="36" t="s">
        <v>141</v>
      </c>
    </row>
    <row r="29" spans="1:18" ht="30">
      <c r="A29" s="119" t="s">
        <v>101</v>
      </c>
      <c r="B29" s="119" t="s">
        <v>102</v>
      </c>
      <c r="C29" s="119" t="s">
        <v>103</v>
      </c>
      <c r="D29" s="119" t="s">
        <v>104</v>
      </c>
      <c r="E29" s="119" t="s">
        <v>105</v>
      </c>
      <c r="F29" s="119" t="s">
        <v>106</v>
      </c>
      <c r="G29" s="119" t="s">
        <v>107</v>
      </c>
    </row>
    <row r="30" spans="1:18" ht="15" customHeight="1">
      <c r="A30" s="141"/>
      <c r="B30" s="142"/>
      <c r="C30" s="142"/>
      <c r="D30" s="124">
        <v>450</v>
      </c>
      <c r="E30" s="124"/>
      <c r="F30" s="124">
        <f>+D30*0.12</f>
        <v>54</v>
      </c>
      <c r="G30" s="124">
        <f>+D30+E30+F30</f>
        <v>504</v>
      </c>
    </row>
    <row r="31" spans="1:18">
      <c r="C31" s="36" t="s">
        <v>33</v>
      </c>
      <c r="D31" s="127">
        <f>+D30</f>
        <v>450</v>
      </c>
      <c r="E31" s="127">
        <f>+E30</f>
        <v>0</v>
      </c>
      <c r="F31" s="127">
        <f>+F30</f>
        <v>54</v>
      </c>
      <c r="G31" s="127">
        <f>+G30</f>
        <v>504</v>
      </c>
    </row>
    <row r="33" spans="1:7">
      <c r="A33" s="130" t="s">
        <v>135</v>
      </c>
      <c r="B33" s="148"/>
      <c r="C33" s="148"/>
      <c r="D33" s="132">
        <f>+D26-D31</f>
        <v>1950</v>
      </c>
      <c r="E33" s="132">
        <f>+E26-E31</f>
        <v>0</v>
      </c>
      <c r="F33" s="132">
        <f>+F26-F31</f>
        <v>234</v>
      </c>
      <c r="G33" s="132">
        <f>+G26-G31</f>
        <v>2184</v>
      </c>
    </row>
    <row r="34" spans="1:7">
      <c r="A34" s="36" t="s">
        <v>136</v>
      </c>
    </row>
    <row r="38" spans="1:7">
      <c r="A38" s="139" t="s">
        <v>137</v>
      </c>
    </row>
    <row r="39" spans="1:7">
      <c r="A39" s="139" t="s">
        <v>138</v>
      </c>
    </row>
  </sheetData>
  <mergeCells count="1">
    <mergeCell ref="N10:P10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CE9FC0-BFEE-4DA4-B777-7AC9CE24C9DA}">
  <dimension ref="A2:R39"/>
  <sheetViews>
    <sheetView zoomScale="85" zoomScaleNormal="85" workbookViewId="0">
      <selection activeCell="I78" sqref="I78"/>
    </sheetView>
  </sheetViews>
  <sheetFormatPr baseColWidth="10" defaultRowHeight="15"/>
  <cols>
    <col min="2" max="2" width="19.42578125" customWidth="1"/>
    <col min="3" max="3" width="13.42578125" customWidth="1"/>
    <col min="11" max="11" width="12.5703125" customWidth="1"/>
  </cols>
  <sheetData>
    <row r="2" spans="1:18">
      <c r="A2" s="36" t="s">
        <v>93</v>
      </c>
    </row>
    <row r="4" spans="1:18">
      <c r="A4" t="s">
        <v>94</v>
      </c>
      <c r="C4" t="s">
        <v>95</v>
      </c>
    </row>
    <row r="5" spans="1:18">
      <c r="A5" t="s">
        <v>96</v>
      </c>
      <c r="C5" t="s">
        <v>97</v>
      </c>
      <c r="E5" t="s">
        <v>98</v>
      </c>
    </row>
    <row r="7" spans="1:18">
      <c r="A7" t="s">
        <v>99</v>
      </c>
    </row>
    <row r="9" spans="1:18">
      <c r="A9" s="117" t="s">
        <v>100</v>
      </c>
      <c r="B9" s="118"/>
      <c r="C9" s="118"/>
      <c r="D9" s="118"/>
      <c r="E9" s="118"/>
      <c r="F9" s="118"/>
      <c r="G9" s="118"/>
      <c r="H9" s="118"/>
      <c r="I9" s="118"/>
      <c r="J9" s="118"/>
      <c r="K9" s="118"/>
    </row>
    <row r="10" spans="1:18" ht="30">
      <c r="A10" s="119" t="s">
        <v>101</v>
      </c>
      <c r="B10" s="119" t="s">
        <v>102</v>
      </c>
      <c r="C10" s="119" t="s">
        <v>103</v>
      </c>
      <c r="D10" s="119" t="s">
        <v>104</v>
      </c>
      <c r="E10" s="119" t="s">
        <v>105</v>
      </c>
      <c r="F10" s="119" t="s">
        <v>106</v>
      </c>
      <c r="G10" s="119" t="s">
        <v>107</v>
      </c>
      <c r="H10" s="119" t="s">
        <v>108</v>
      </c>
      <c r="J10" s="119" t="s">
        <v>109</v>
      </c>
      <c r="K10" s="119" t="s">
        <v>110</v>
      </c>
      <c r="L10" s="119" t="s">
        <v>33</v>
      </c>
      <c r="N10" s="120" t="s">
        <v>111</v>
      </c>
      <c r="O10" s="121"/>
      <c r="P10" s="121"/>
    </row>
    <row r="11" spans="1:18">
      <c r="A11" s="122">
        <v>43863</v>
      </c>
      <c r="B11" s="123" t="s">
        <v>112</v>
      </c>
      <c r="C11" s="123" t="s">
        <v>113</v>
      </c>
      <c r="D11" s="124">
        <v>2000</v>
      </c>
      <c r="E11" s="124"/>
      <c r="F11" s="124">
        <f>+D11*0.12</f>
        <v>240</v>
      </c>
      <c r="G11" s="124">
        <f>+D11+F11</f>
        <v>2240</v>
      </c>
      <c r="H11" s="123" t="s">
        <v>114</v>
      </c>
      <c r="J11" s="123">
        <f>+F11*0.7</f>
        <v>168</v>
      </c>
      <c r="K11" s="124">
        <f>+D11*2.75%</f>
        <v>55</v>
      </c>
      <c r="L11" s="125">
        <f>+J11+K11</f>
        <v>223</v>
      </c>
      <c r="N11" t="s">
        <v>115</v>
      </c>
      <c r="R11">
        <v>0</v>
      </c>
    </row>
    <row r="12" spans="1:18">
      <c r="A12" s="122">
        <v>43956</v>
      </c>
      <c r="B12" s="123" t="s">
        <v>112</v>
      </c>
      <c r="C12" s="123" t="s">
        <v>116</v>
      </c>
      <c r="D12" s="124">
        <v>450</v>
      </c>
      <c r="E12" s="124"/>
      <c r="F12" s="124">
        <f>+D12*0.12</f>
        <v>54</v>
      </c>
      <c r="G12" s="124">
        <f>+D12+F12</f>
        <v>504</v>
      </c>
      <c r="H12" s="123" t="s">
        <v>114</v>
      </c>
      <c r="J12" s="123"/>
      <c r="K12" s="124"/>
      <c r="L12" s="125"/>
      <c r="N12" t="s">
        <v>117</v>
      </c>
      <c r="R12" s="15">
        <f>+F19</f>
        <v>334.44</v>
      </c>
    </row>
    <row r="13" spans="1:18">
      <c r="A13" s="122">
        <v>43961</v>
      </c>
      <c r="B13" s="123" t="s">
        <v>112</v>
      </c>
      <c r="C13" s="123" t="s">
        <v>118</v>
      </c>
      <c r="D13" s="124">
        <v>762</v>
      </c>
      <c r="E13" s="124"/>
      <c r="F13" s="124">
        <f>+D13*0.12</f>
        <v>91.44</v>
      </c>
      <c r="G13" s="124">
        <f>+D13+F13</f>
        <v>853.44</v>
      </c>
      <c r="H13" s="123" t="s">
        <v>114</v>
      </c>
      <c r="J13" s="124"/>
      <c r="K13" s="124"/>
      <c r="L13" s="124"/>
      <c r="N13" t="s">
        <v>119</v>
      </c>
      <c r="R13" s="126">
        <f>+F33</f>
        <v>186</v>
      </c>
    </row>
    <row r="14" spans="1:18">
      <c r="C14" s="36"/>
      <c r="D14" s="127">
        <f>SUM(D11:D13)</f>
        <v>3212</v>
      </c>
      <c r="E14" s="127">
        <f>SUM(E11:E13)</f>
        <v>0</v>
      </c>
      <c r="F14" s="127">
        <f>SUM(F11:F13)</f>
        <v>385.44</v>
      </c>
      <c r="G14" s="127">
        <f>SUM(G11:G13)</f>
        <v>3597.44</v>
      </c>
      <c r="H14" s="123"/>
      <c r="J14" s="127">
        <f>SUM(J11:J13)</f>
        <v>168</v>
      </c>
      <c r="K14" s="127">
        <f>SUM(K11:K13)</f>
        <v>55</v>
      </c>
      <c r="L14" s="127">
        <f>SUM(L11:L13)</f>
        <v>223</v>
      </c>
      <c r="N14" t="s">
        <v>120</v>
      </c>
      <c r="R14" s="128">
        <f>+R11+R12-R13</f>
        <v>148.44</v>
      </c>
    </row>
    <row r="15" spans="1:18">
      <c r="A15" s="36" t="s">
        <v>121</v>
      </c>
      <c r="N15" t="s">
        <v>122</v>
      </c>
    </row>
    <row r="16" spans="1:18" ht="30">
      <c r="A16" s="119" t="s">
        <v>101</v>
      </c>
      <c r="B16" s="119" t="s">
        <v>102</v>
      </c>
      <c r="C16" s="119" t="s">
        <v>103</v>
      </c>
      <c r="D16" s="119" t="s">
        <v>104</v>
      </c>
      <c r="E16" s="119" t="s">
        <v>105</v>
      </c>
      <c r="F16" s="119" t="s">
        <v>106</v>
      </c>
      <c r="G16" s="119" t="s">
        <v>107</v>
      </c>
      <c r="N16" t="s">
        <v>123</v>
      </c>
      <c r="R16">
        <f>+[1]Hoja2!R23</f>
        <v>38.159999999999997</v>
      </c>
    </row>
    <row r="17" spans="1:18">
      <c r="A17" s="122"/>
      <c r="B17" s="123"/>
      <c r="C17" s="123"/>
      <c r="D17" s="124">
        <v>425</v>
      </c>
      <c r="E17" s="124"/>
      <c r="F17" s="124">
        <f>+D17*0.12</f>
        <v>51</v>
      </c>
      <c r="G17" s="124">
        <f>+D17+F17</f>
        <v>476</v>
      </c>
      <c r="J17" s="129" t="s">
        <v>124</v>
      </c>
      <c r="N17" t="s">
        <v>125</v>
      </c>
      <c r="R17">
        <f>+[1]Hoja2!R24</f>
        <v>94.08</v>
      </c>
    </row>
    <row r="18" spans="1:18">
      <c r="C18" s="36" t="s">
        <v>33</v>
      </c>
      <c r="D18" s="127">
        <f>+D17</f>
        <v>425</v>
      </c>
      <c r="E18" s="127">
        <f>+E17</f>
        <v>0</v>
      </c>
      <c r="F18" s="127">
        <f>+F17</f>
        <v>51</v>
      </c>
      <c r="G18" s="127">
        <f>+G17</f>
        <v>476</v>
      </c>
      <c r="J18" s="129" t="s">
        <v>126</v>
      </c>
      <c r="N18" t="s">
        <v>127</v>
      </c>
      <c r="R18" s="126">
        <f>+J14</f>
        <v>168</v>
      </c>
    </row>
    <row r="19" spans="1:18">
      <c r="A19" s="130" t="s">
        <v>128</v>
      </c>
      <c r="B19" s="131"/>
      <c r="C19" s="131"/>
      <c r="D19" s="132">
        <f>+D14-D18</f>
        <v>2787</v>
      </c>
      <c r="E19" s="132">
        <f>+E14-E18</f>
        <v>0</v>
      </c>
      <c r="F19" s="132">
        <f>+F14-F18</f>
        <v>334.44</v>
      </c>
      <c r="G19" s="132">
        <f>+G14-G18</f>
        <v>3121.44</v>
      </c>
    </row>
    <row r="20" spans="1:18">
      <c r="A20" s="36" t="s">
        <v>129</v>
      </c>
      <c r="N20" t="s">
        <v>130</v>
      </c>
    </row>
    <row r="21" spans="1:18">
      <c r="A21" s="117" t="s">
        <v>131</v>
      </c>
      <c r="B21" s="118"/>
      <c r="C21" s="118"/>
      <c r="D21" s="118"/>
      <c r="E21" s="118"/>
      <c r="F21" s="118"/>
      <c r="G21" s="118"/>
      <c r="H21" s="118"/>
      <c r="I21" s="118"/>
      <c r="J21" s="118"/>
      <c r="K21" s="118"/>
      <c r="N21" t="s">
        <v>122</v>
      </c>
      <c r="R21" s="128">
        <f>+R14-R16-R17-R18</f>
        <v>-151.80000000000001</v>
      </c>
    </row>
    <row r="22" spans="1:18" ht="30">
      <c r="A22" s="119" t="s">
        <v>101</v>
      </c>
      <c r="B22" s="119" t="s">
        <v>102</v>
      </c>
      <c r="C22" s="119" t="s">
        <v>103</v>
      </c>
      <c r="D22" s="119" t="s">
        <v>104</v>
      </c>
      <c r="E22" s="119" t="s">
        <v>105</v>
      </c>
      <c r="F22" s="119" t="s">
        <v>106</v>
      </c>
      <c r="G22" s="119" t="s">
        <v>107</v>
      </c>
      <c r="I22" s="133" t="s">
        <v>109</v>
      </c>
      <c r="J22" s="133" t="s">
        <v>110</v>
      </c>
      <c r="K22" s="133" t="s">
        <v>33</v>
      </c>
    </row>
    <row r="23" spans="1:18" ht="16.5" customHeight="1">
      <c r="A23" s="122">
        <v>44682</v>
      </c>
      <c r="B23" s="123" t="s">
        <v>112</v>
      </c>
      <c r="C23" s="134" t="s">
        <v>132</v>
      </c>
      <c r="D23" s="124">
        <v>1100</v>
      </c>
      <c r="E23" s="124"/>
      <c r="F23" s="124">
        <f>+D23*0.12</f>
        <v>132</v>
      </c>
      <c r="G23" s="124">
        <f>+D23+E23+F23</f>
        <v>1232</v>
      </c>
      <c r="I23" s="135"/>
      <c r="J23" s="136"/>
      <c r="K23" s="137"/>
      <c r="O23" t="s">
        <v>139</v>
      </c>
    </row>
    <row r="24" spans="1:18">
      <c r="A24" s="122">
        <v>44683</v>
      </c>
      <c r="B24" s="123" t="s">
        <v>112</v>
      </c>
      <c r="C24" s="134" t="s">
        <v>133</v>
      </c>
      <c r="D24" s="124">
        <v>700</v>
      </c>
      <c r="E24" s="124"/>
      <c r="F24" s="124">
        <f>+D24*0.12</f>
        <v>84</v>
      </c>
      <c r="G24" s="124">
        <f>+D24+E24+F24</f>
        <v>784</v>
      </c>
      <c r="I24" s="135"/>
      <c r="J24" s="136"/>
      <c r="K24" s="137"/>
      <c r="O24" t="s">
        <v>140</v>
      </c>
      <c r="Q24">
        <v>151.80000000000001</v>
      </c>
    </row>
    <row r="25" spans="1:18">
      <c r="A25" s="122"/>
      <c r="B25" s="123"/>
      <c r="C25" s="134"/>
      <c r="D25" s="124"/>
      <c r="E25" s="124"/>
      <c r="F25" s="124"/>
      <c r="G25" s="124">
        <f>+D25+E25+F25</f>
        <v>0</v>
      </c>
      <c r="I25" s="136"/>
      <c r="J25" s="136"/>
      <c r="K25" s="136"/>
    </row>
    <row r="26" spans="1:18" ht="17.25" customHeight="1">
      <c r="C26" s="36" t="s">
        <v>33</v>
      </c>
      <c r="D26" s="127">
        <f>SUM(D23:D25)</f>
        <v>1800</v>
      </c>
      <c r="E26" s="127">
        <f>SUM(E23:E25)</f>
        <v>0</v>
      </c>
      <c r="F26" s="127">
        <f>SUM(F23:F25)</f>
        <v>216</v>
      </c>
      <c r="G26" s="127">
        <f>SUM(G23:G25)</f>
        <v>2016</v>
      </c>
      <c r="I26" s="138" t="s">
        <v>134</v>
      </c>
    </row>
    <row r="27" spans="1:18" ht="15" customHeight="1">
      <c r="A27" s="36" t="s">
        <v>141</v>
      </c>
      <c r="L27" s="152" t="s">
        <v>144</v>
      </c>
      <c r="M27" s="152" t="s">
        <v>145</v>
      </c>
      <c r="N27" s="152" t="s">
        <v>144</v>
      </c>
      <c r="O27" s="152" t="s">
        <v>145</v>
      </c>
      <c r="P27" s="152" t="s">
        <v>144</v>
      </c>
      <c r="Q27" s="152" t="s">
        <v>145</v>
      </c>
    </row>
    <row r="28" spans="1:18">
      <c r="K28" s="123" t="s">
        <v>146</v>
      </c>
      <c r="L28" s="123">
        <v>401</v>
      </c>
      <c r="M28" s="125">
        <f>+D14</f>
        <v>3212</v>
      </c>
      <c r="N28" s="123">
        <v>411</v>
      </c>
      <c r="O28" s="125">
        <f>+D19</f>
        <v>2787</v>
      </c>
      <c r="P28" s="123">
        <v>421</v>
      </c>
      <c r="Q28" s="125">
        <f>+F19</f>
        <v>334.44</v>
      </c>
    </row>
    <row r="29" spans="1:18" ht="30">
      <c r="A29" s="119" t="s">
        <v>101</v>
      </c>
      <c r="B29" s="119" t="s">
        <v>102</v>
      </c>
      <c r="C29" s="119" t="s">
        <v>103</v>
      </c>
      <c r="D29" s="119" t="s">
        <v>104</v>
      </c>
      <c r="E29" s="119" t="s">
        <v>105</v>
      </c>
      <c r="F29" s="119" t="s">
        <v>106</v>
      </c>
      <c r="G29" s="119" t="s">
        <v>107</v>
      </c>
      <c r="K29" s="123" t="s">
        <v>147</v>
      </c>
      <c r="L29" s="123">
        <v>500</v>
      </c>
      <c r="M29" s="125">
        <f>+D26</f>
        <v>1800</v>
      </c>
      <c r="N29" s="123">
        <v>510</v>
      </c>
      <c r="O29" s="125">
        <f>+D33</f>
        <v>1550</v>
      </c>
      <c r="P29" s="123">
        <v>520</v>
      </c>
      <c r="Q29" s="125">
        <f>+F33</f>
        <v>186</v>
      </c>
    </row>
    <row r="30" spans="1:18" ht="15" customHeight="1">
      <c r="A30" s="122"/>
      <c r="B30" s="123"/>
      <c r="C30" s="123"/>
      <c r="D30" s="124">
        <v>250</v>
      </c>
      <c r="E30" s="124"/>
      <c r="F30" s="124">
        <f>+D30*0.12</f>
        <v>30</v>
      </c>
      <c r="G30" s="124">
        <f>+D30+E30+F30</f>
        <v>280</v>
      </c>
      <c r="K30" s="123" t="s">
        <v>148</v>
      </c>
      <c r="L30" s="123">
        <v>564</v>
      </c>
      <c r="M30" s="125">
        <f>+F33</f>
        <v>186</v>
      </c>
      <c r="N30" s="123"/>
      <c r="O30" s="123"/>
      <c r="P30" s="123"/>
      <c r="Q30" s="123"/>
    </row>
    <row r="31" spans="1:18">
      <c r="C31" s="36" t="s">
        <v>33</v>
      </c>
      <c r="D31" s="127">
        <f>+D30</f>
        <v>250</v>
      </c>
      <c r="E31" s="127">
        <f>+E30</f>
        <v>0</v>
      </c>
      <c r="F31" s="127">
        <f>+F30</f>
        <v>30</v>
      </c>
      <c r="G31" s="127">
        <f>+G30</f>
        <v>280</v>
      </c>
      <c r="K31" s="123" t="s">
        <v>149</v>
      </c>
      <c r="L31" s="123">
        <v>601</v>
      </c>
      <c r="M31" s="125">
        <f>+R14</f>
        <v>148.44</v>
      </c>
      <c r="N31" s="123">
        <v>602</v>
      </c>
      <c r="O31" s="123">
        <v>0</v>
      </c>
      <c r="P31" s="123"/>
      <c r="Q31" s="123"/>
    </row>
    <row r="32" spans="1:18">
      <c r="K32" s="123" t="s">
        <v>150</v>
      </c>
      <c r="L32" s="123">
        <v>605</v>
      </c>
      <c r="M32" s="123">
        <f>+R16</f>
        <v>38.159999999999997</v>
      </c>
      <c r="N32" s="123">
        <v>606</v>
      </c>
      <c r="O32" s="123">
        <f>+R17</f>
        <v>94.08</v>
      </c>
      <c r="P32" s="123"/>
      <c r="Q32" s="123"/>
    </row>
    <row r="33" spans="1:17">
      <c r="A33" s="130" t="s">
        <v>135</v>
      </c>
      <c r="B33" s="131"/>
      <c r="C33" s="131"/>
      <c r="D33" s="132">
        <f>+D26-D31</f>
        <v>1550</v>
      </c>
      <c r="E33" s="132">
        <f>+E26-E31</f>
        <v>0</v>
      </c>
      <c r="F33" s="132">
        <f>+F26-F31</f>
        <v>186</v>
      </c>
      <c r="G33" s="132">
        <f>+G26-G31</f>
        <v>1736</v>
      </c>
      <c r="K33" s="123" t="s">
        <v>151</v>
      </c>
      <c r="L33" s="123">
        <v>609</v>
      </c>
      <c r="M33" s="125">
        <f>+R18</f>
        <v>168</v>
      </c>
      <c r="N33" s="123"/>
      <c r="O33" s="123"/>
      <c r="P33" s="123"/>
      <c r="Q33" s="123"/>
    </row>
    <row r="34" spans="1:17">
      <c r="A34" s="36" t="s">
        <v>136</v>
      </c>
      <c r="K34" s="123" t="s">
        <v>152</v>
      </c>
      <c r="L34" s="123">
        <v>615</v>
      </c>
      <c r="M34" s="123">
        <v>0</v>
      </c>
      <c r="N34" s="123">
        <v>617</v>
      </c>
      <c r="O34" s="123">
        <v>151.80000000000001</v>
      </c>
      <c r="P34" s="123"/>
      <c r="Q34" s="123"/>
    </row>
    <row r="38" spans="1:17">
      <c r="A38" t="s">
        <v>137</v>
      </c>
    </row>
    <row r="39" spans="1:17">
      <c r="A39" t="s">
        <v>138</v>
      </c>
    </row>
  </sheetData>
  <mergeCells count="1">
    <mergeCell ref="N10:P10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321E9A-50D5-4542-BF95-F5971FFDF1D0}">
  <dimension ref="A2:R39"/>
  <sheetViews>
    <sheetView zoomScale="85" zoomScaleNormal="85" workbookViewId="0">
      <selection activeCell="I77" sqref="I77"/>
    </sheetView>
  </sheetViews>
  <sheetFormatPr baseColWidth="10" defaultRowHeight="15"/>
  <cols>
    <col min="2" max="2" width="19.42578125" customWidth="1"/>
    <col min="3" max="3" width="13.42578125" customWidth="1"/>
    <col min="11" max="11" width="12.5703125" customWidth="1"/>
    <col min="18" max="18" width="11.42578125" style="153"/>
  </cols>
  <sheetData>
    <row r="2" spans="1:18">
      <c r="A2" s="36" t="s">
        <v>93</v>
      </c>
    </row>
    <row r="4" spans="1:18">
      <c r="A4" t="s">
        <v>94</v>
      </c>
      <c r="C4" t="s">
        <v>95</v>
      </c>
    </row>
    <row r="5" spans="1:18">
      <c r="A5" t="s">
        <v>96</v>
      </c>
      <c r="C5" t="s">
        <v>97</v>
      </c>
      <c r="E5" t="s">
        <v>98</v>
      </c>
    </row>
    <row r="7" spans="1:18">
      <c r="A7" t="s">
        <v>99</v>
      </c>
    </row>
    <row r="9" spans="1:18">
      <c r="A9" s="117" t="s">
        <v>100</v>
      </c>
      <c r="B9" s="118"/>
      <c r="C9" s="118"/>
      <c r="D9" s="118"/>
      <c r="E9" s="118"/>
      <c r="F9" s="118"/>
      <c r="G9" s="118"/>
      <c r="H9" s="118"/>
      <c r="I9" s="118"/>
      <c r="J9" s="118"/>
      <c r="K9" s="118"/>
    </row>
    <row r="10" spans="1:18" ht="30">
      <c r="A10" s="119" t="s">
        <v>101</v>
      </c>
      <c r="B10" s="119" t="s">
        <v>102</v>
      </c>
      <c r="C10" s="119" t="s">
        <v>103</v>
      </c>
      <c r="D10" s="119" t="s">
        <v>104</v>
      </c>
      <c r="E10" s="119" t="s">
        <v>105</v>
      </c>
      <c r="F10" s="119" t="s">
        <v>106</v>
      </c>
      <c r="G10" s="119" t="s">
        <v>107</v>
      </c>
      <c r="H10" s="119" t="s">
        <v>108</v>
      </c>
      <c r="J10" s="119" t="s">
        <v>109</v>
      </c>
      <c r="K10" s="119" t="s">
        <v>110</v>
      </c>
      <c r="L10" s="119" t="s">
        <v>33</v>
      </c>
      <c r="N10" s="120" t="s">
        <v>111</v>
      </c>
      <c r="O10" s="121"/>
      <c r="P10" s="121"/>
    </row>
    <row r="11" spans="1:18">
      <c r="A11" s="122">
        <v>43863</v>
      </c>
      <c r="B11" s="123" t="s">
        <v>112</v>
      </c>
      <c r="C11" s="123" t="s">
        <v>113</v>
      </c>
      <c r="D11" s="124">
        <v>4800</v>
      </c>
      <c r="E11" s="124"/>
      <c r="F11" s="124">
        <f>+D11*0.12</f>
        <v>576</v>
      </c>
      <c r="G11" s="124">
        <f>+D11+F11</f>
        <v>5376</v>
      </c>
      <c r="H11" s="123" t="s">
        <v>114</v>
      </c>
      <c r="J11" s="123">
        <f>+F11*0.3</f>
        <v>172.79999999999998</v>
      </c>
      <c r="K11" s="124">
        <f>+D11*2.75%</f>
        <v>132</v>
      </c>
      <c r="L11" s="125">
        <f>+J11+K11</f>
        <v>304.79999999999995</v>
      </c>
      <c r="N11" t="s">
        <v>115</v>
      </c>
      <c r="R11" s="153">
        <v>0</v>
      </c>
    </row>
    <row r="12" spans="1:18">
      <c r="A12" s="122">
        <v>43956</v>
      </c>
      <c r="B12" s="123" t="s">
        <v>112</v>
      </c>
      <c r="C12" s="123" t="s">
        <v>116</v>
      </c>
      <c r="D12" s="124">
        <v>450</v>
      </c>
      <c r="E12" s="124"/>
      <c r="F12" s="124">
        <f>+D12*0.12</f>
        <v>54</v>
      </c>
      <c r="G12" s="124">
        <f>+D12+F12</f>
        <v>504</v>
      </c>
      <c r="H12" s="123" t="s">
        <v>114</v>
      </c>
      <c r="J12" s="123"/>
      <c r="K12" s="124"/>
      <c r="L12" s="125"/>
      <c r="N12" t="s">
        <v>117</v>
      </c>
      <c r="R12" s="154">
        <f>+F19</f>
        <v>706.44</v>
      </c>
    </row>
    <row r="13" spans="1:18">
      <c r="A13" s="122">
        <v>43961</v>
      </c>
      <c r="B13" s="123" t="s">
        <v>112</v>
      </c>
      <c r="C13" s="123" t="s">
        <v>118</v>
      </c>
      <c r="D13" s="124">
        <v>762</v>
      </c>
      <c r="E13" s="124"/>
      <c r="F13" s="124">
        <f>+D13*0.12</f>
        <v>91.44</v>
      </c>
      <c r="G13" s="124">
        <f>+D13+F13</f>
        <v>853.44</v>
      </c>
      <c r="H13" s="123" t="s">
        <v>114</v>
      </c>
      <c r="J13" s="124"/>
      <c r="K13" s="124"/>
      <c r="L13" s="124"/>
      <c r="N13" t="s">
        <v>119</v>
      </c>
      <c r="R13" s="155">
        <f>+F33</f>
        <v>249</v>
      </c>
    </row>
    <row r="14" spans="1:18">
      <c r="C14" s="36"/>
      <c r="D14" s="127">
        <f>SUM(D11:D13)</f>
        <v>6012</v>
      </c>
      <c r="E14" s="127">
        <f>SUM(E11:E13)</f>
        <v>0</v>
      </c>
      <c r="F14" s="127">
        <f>SUM(F11:F13)</f>
        <v>721.44</v>
      </c>
      <c r="G14" s="127">
        <f>SUM(G11:G13)</f>
        <v>6733.4400000000005</v>
      </c>
      <c r="H14" s="123"/>
      <c r="J14" s="127">
        <f>SUM(J11:J13)</f>
        <v>172.79999999999998</v>
      </c>
      <c r="K14" s="127">
        <f>SUM(K11:K13)</f>
        <v>132</v>
      </c>
      <c r="L14" s="127">
        <f>SUM(L11:L13)</f>
        <v>304.79999999999995</v>
      </c>
      <c r="N14" t="s">
        <v>120</v>
      </c>
      <c r="R14" s="156">
        <f>+R11+R12-R13</f>
        <v>457.44000000000005</v>
      </c>
    </row>
    <row r="15" spans="1:18">
      <c r="A15" s="36" t="s">
        <v>121</v>
      </c>
      <c r="N15" t="s">
        <v>122</v>
      </c>
    </row>
    <row r="16" spans="1:18" ht="30">
      <c r="A16" s="119" t="s">
        <v>101</v>
      </c>
      <c r="B16" s="119" t="s">
        <v>102</v>
      </c>
      <c r="C16" s="119" t="s">
        <v>103</v>
      </c>
      <c r="D16" s="119" t="s">
        <v>104</v>
      </c>
      <c r="E16" s="119" t="s">
        <v>105</v>
      </c>
      <c r="F16" s="119" t="s">
        <v>106</v>
      </c>
      <c r="G16" s="119" t="s">
        <v>107</v>
      </c>
      <c r="N16" t="s">
        <v>123</v>
      </c>
      <c r="R16" s="153">
        <v>0</v>
      </c>
    </row>
    <row r="17" spans="1:18">
      <c r="A17" s="122"/>
      <c r="B17" s="123"/>
      <c r="C17" s="123"/>
      <c r="D17" s="124">
        <v>125</v>
      </c>
      <c r="E17" s="124"/>
      <c r="F17" s="124">
        <f>+D17*0.12</f>
        <v>15</v>
      </c>
      <c r="G17" s="124">
        <f>+D17+F17</f>
        <v>140</v>
      </c>
      <c r="J17" s="129" t="s">
        <v>124</v>
      </c>
      <c r="N17" t="s">
        <v>125</v>
      </c>
      <c r="R17" s="153">
        <f>+[1]Hoja3!Q24</f>
        <v>151.80000000000001</v>
      </c>
    </row>
    <row r="18" spans="1:18">
      <c r="C18" s="36" t="s">
        <v>33</v>
      </c>
      <c r="D18" s="127">
        <f>+D17</f>
        <v>125</v>
      </c>
      <c r="E18" s="127">
        <f>+E17</f>
        <v>0</v>
      </c>
      <c r="F18" s="127">
        <f>+F17</f>
        <v>15</v>
      </c>
      <c r="G18" s="127">
        <f>+G17</f>
        <v>140</v>
      </c>
      <c r="J18" s="129" t="s">
        <v>126</v>
      </c>
      <c r="N18" t="s">
        <v>127</v>
      </c>
      <c r="R18" s="155">
        <f>+J14</f>
        <v>172.79999999999998</v>
      </c>
    </row>
    <row r="19" spans="1:18">
      <c r="A19" s="130" t="s">
        <v>128</v>
      </c>
      <c r="B19" s="131"/>
      <c r="C19" s="131"/>
      <c r="D19" s="132">
        <f>+D14-D18</f>
        <v>5887</v>
      </c>
      <c r="E19" s="132">
        <f>+E14-E18</f>
        <v>0</v>
      </c>
      <c r="F19" s="132">
        <f>+F14-F18</f>
        <v>706.44</v>
      </c>
      <c r="G19" s="132">
        <f>+G14-G18</f>
        <v>6593.4400000000005</v>
      </c>
    </row>
    <row r="20" spans="1:18">
      <c r="A20" s="36" t="s">
        <v>129</v>
      </c>
      <c r="N20" t="s">
        <v>130</v>
      </c>
      <c r="R20" s="156">
        <f>+R14-R16-R17-R18</f>
        <v>132.84000000000006</v>
      </c>
    </row>
    <row r="21" spans="1:18">
      <c r="A21" s="117" t="s">
        <v>131</v>
      </c>
      <c r="B21" s="118"/>
      <c r="C21" s="118"/>
      <c r="D21" s="118"/>
      <c r="E21" s="118"/>
      <c r="F21" s="118"/>
      <c r="G21" s="118"/>
      <c r="H21" s="118"/>
      <c r="I21" s="118"/>
      <c r="J21" s="118"/>
      <c r="K21" s="118"/>
      <c r="N21" t="s">
        <v>122</v>
      </c>
    </row>
    <row r="22" spans="1:18" ht="30">
      <c r="A22" s="119" t="s">
        <v>101</v>
      </c>
      <c r="B22" s="119" t="s">
        <v>102</v>
      </c>
      <c r="C22" s="119" t="s">
        <v>103</v>
      </c>
      <c r="D22" s="119" t="s">
        <v>104</v>
      </c>
      <c r="E22" s="119" t="s">
        <v>105</v>
      </c>
      <c r="F22" s="119" t="s">
        <v>106</v>
      </c>
      <c r="G22" s="119" t="s">
        <v>107</v>
      </c>
      <c r="I22" s="133" t="s">
        <v>109</v>
      </c>
      <c r="J22" s="133" t="s">
        <v>110</v>
      </c>
      <c r="K22" s="133" t="s">
        <v>33</v>
      </c>
    </row>
    <row r="23" spans="1:18" ht="16.5" customHeight="1">
      <c r="A23" s="122">
        <v>44682</v>
      </c>
      <c r="B23" s="123" t="s">
        <v>112</v>
      </c>
      <c r="C23" s="134" t="s">
        <v>132</v>
      </c>
      <c r="D23" s="124">
        <v>1500</v>
      </c>
      <c r="E23" s="124"/>
      <c r="F23" s="124">
        <f>+D23*0.12</f>
        <v>180</v>
      </c>
      <c r="G23" s="124">
        <f>+D23+E23+F23</f>
        <v>1680</v>
      </c>
      <c r="I23" s="135"/>
      <c r="J23" s="136"/>
      <c r="K23" s="137"/>
      <c r="O23" t="s">
        <v>139</v>
      </c>
    </row>
    <row r="24" spans="1:18">
      <c r="A24" s="122">
        <v>44683</v>
      </c>
      <c r="B24" s="123" t="s">
        <v>112</v>
      </c>
      <c r="C24" s="134" t="s">
        <v>133</v>
      </c>
      <c r="D24" s="124">
        <v>700</v>
      </c>
      <c r="E24" s="124"/>
      <c r="F24" s="124">
        <f>+D24*0.12</f>
        <v>84</v>
      </c>
      <c r="G24" s="124">
        <f>+D24+E24+F24</f>
        <v>784</v>
      </c>
      <c r="I24" s="135"/>
      <c r="J24" s="136"/>
      <c r="K24" s="137"/>
      <c r="O24" t="s">
        <v>140</v>
      </c>
    </row>
    <row r="25" spans="1:18">
      <c r="A25" s="122"/>
      <c r="B25" s="123"/>
      <c r="C25" s="134"/>
      <c r="D25" s="124"/>
      <c r="E25" s="124"/>
      <c r="F25" s="124"/>
      <c r="G25" s="124">
        <f>+D25+E25+F25</f>
        <v>0</v>
      </c>
      <c r="I25" s="136"/>
      <c r="J25" s="136"/>
      <c r="K25" s="136"/>
    </row>
    <row r="26" spans="1:18" ht="17.25" customHeight="1">
      <c r="C26" s="36" t="s">
        <v>33</v>
      </c>
      <c r="D26" s="127">
        <f>SUM(D23:D25)</f>
        <v>2200</v>
      </c>
      <c r="E26" s="127">
        <f>SUM(E23:E25)</f>
        <v>0</v>
      </c>
      <c r="F26" s="127">
        <f>SUM(F23:F25)</f>
        <v>264</v>
      </c>
      <c r="G26" s="127">
        <f>SUM(G23:G25)</f>
        <v>2464</v>
      </c>
      <c r="I26" s="138" t="s">
        <v>134</v>
      </c>
    </row>
    <row r="27" spans="1:18" ht="15" customHeight="1">
      <c r="A27" s="36" t="s">
        <v>141</v>
      </c>
      <c r="L27" s="152" t="s">
        <v>144</v>
      </c>
      <c r="M27" s="152" t="s">
        <v>145</v>
      </c>
      <c r="N27" s="152" t="s">
        <v>144</v>
      </c>
      <c r="O27" s="152" t="s">
        <v>145</v>
      </c>
      <c r="P27" s="152" t="s">
        <v>144</v>
      </c>
      <c r="Q27" s="152" t="s">
        <v>145</v>
      </c>
    </row>
    <row r="28" spans="1:18">
      <c r="K28" s="123" t="s">
        <v>146</v>
      </c>
      <c r="L28" s="123">
        <v>401</v>
      </c>
      <c r="M28" s="157">
        <f>+D14</f>
        <v>6012</v>
      </c>
      <c r="N28" s="158">
        <v>411</v>
      </c>
      <c r="O28" s="157">
        <f>+D19</f>
        <v>5887</v>
      </c>
      <c r="P28" s="158">
        <v>421</v>
      </c>
      <c r="Q28" s="157">
        <f>+F19</f>
        <v>706.44</v>
      </c>
    </row>
    <row r="29" spans="1:18" ht="30">
      <c r="A29" s="119" t="s">
        <v>101</v>
      </c>
      <c r="B29" s="119" t="s">
        <v>102</v>
      </c>
      <c r="C29" s="119" t="s">
        <v>103</v>
      </c>
      <c r="D29" s="119" t="s">
        <v>104</v>
      </c>
      <c r="E29" s="119" t="s">
        <v>105</v>
      </c>
      <c r="F29" s="119" t="s">
        <v>106</v>
      </c>
      <c r="G29" s="119" t="s">
        <v>107</v>
      </c>
      <c r="K29" s="123" t="s">
        <v>147</v>
      </c>
      <c r="L29" s="123">
        <v>500</v>
      </c>
      <c r="M29" s="157">
        <f>+D26</f>
        <v>2200</v>
      </c>
      <c r="N29" s="158">
        <v>510</v>
      </c>
      <c r="O29" s="157">
        <f>+D33</f>
        <v>2075</v>
      </c>
      <c r="P29" s="158">
        <v>520</v>
      </c>
      <c r="Q29" s="157">
        <f>+F33</f>
        <v>249</v>
      </c>
    </row>
    <row r="30" spans="1:18" ht="15" customHeight="1">
      <c r="A30" s="122"/>
      <c r="B30" s="123"/>
      <c r="C30" s="123"/>
      <c r="D30" s="124">
        <v>125</v>
      </c>
      <c r="E30" s="124"/>
      <c r="F30" s="124">
        <f>+D30*0.12</f>
        <v>15</v>
      </c>
      <c r="G30" s="124">
        <f>+D30+E30+F30</f>
        <v>140</v>
      </c>
      <c r="K30" s="123" t="s">
        <v>148</v>
      </c>
      <c r="L30" s="123">
        <v>564</v>
      </c>
      <c r="M30" s="157">
        <f>+F33</f>
        <v>249</v>
      </c>
      <c r="N30" s="158"/>
      <c r="O30" s="158"/>
      <c r="P30" s="158"/>
      <c r="Q30" s="158"/>
    </row>
    <row r="31" spans="1:18">
      <c r="C31" s="36" t="s">
        <v>33</v>
      </c>
      <c r="D31" s="127">
        <f>+D30</f>
        <v>125</v>
      </c>
      <c r="E31" s="127">
        <f>+E30</f>
        <v>0</v>
      </c>
      <c r="F31" s="127">
        <f>+F30</f>
        <v>15</v>
      </c>
      <c r="G31" s="127">
        <f>+G30</f>
        <v>140</v>
      </c>
      <c r="K31" s="123" t="s">
        <v>149</v>
      </c>
      <c r="L31" s="123">
        <v>601</v>
      </c>
      <c r="M31" s="157">
        <f>+R14</f>
        <v>457.44000000000005</v>
      </c>
      <c r="N31" s="158">
        <v>602</v>
      </c>
      <c r="O31" s="158">
        <v>0</v>
      </c>
      <c r="P31" s="158"/>
      <c r="Q31" s="158"/>
    </row>
    <row r="32" spans="1:18">
      <c r="K32" s="123" t="s">
        <v>150</v>
      </c>
      <c r="L32" s="123">
        <v>605</v>
      </c>
      <c r="M32" s="158">
        <f>+R16</f>
        <v>0</v>
      </c>
      <c r="N32" s="158">
        <v>606</v>
      </c>
      <c r="O32" s="158">
        <f>+R17</f>
        <v>151.80000000000001</v>
      </c>
      <c r="P32" s="158"/>
      <c r="Q32" s="158"/>
    </row>
    <row r="33" spans="1:17">
      <c r="A33" s="130" t="s">
        <v>135</v>
      </c>
      <c r="B33" s="131"/>
      <c r="C33" s="131"/>
      <c r="D33" s="132">
        <f>+D26-D31</f>
        <v>2075</v>
      </c>
      <c r="E33" s="132">
        <f>+E26-E31</f>
        <v>0</v>
      </c>
      <c r="F33" s="132">
        <f>+F26-F31</f>
        <v>249</v>
      </c>
      <c r="G33" s="132">
        <f>+G26-G31</f>
        <v>2324</v>
      </c>
      <c r="K33" s="123" t="s">
        <v>151</v>
      </c>
      <c r="L33" s="123">
        <v>609</v>
      </c>
      <c r="M33" s="157">
        <f>+R18</f>
        <v>172.79999999999998</v>
      </c>
      <c r="N33" s="158"/>
      <c r="O33" s="158"/>
      <c r="P33" s="158"/>
      <c r="Q33" s="158"/>
    </row>
    <row r="34" spans="1:17">
      <c r="A34" s="36" t="s">
        <v>136</v>
      </c>
      <c r="K34" s="123" t="s">
        <v>152</v>
      </c>
      <c r="L34" s="123">
        <v>615</v>
      </c>
      <c r="M34" s="158">
        <v>0</v>
      </c>
      <c r="N34" s="158">
        <v>617</v>
      </c>
      <c r="O34" s="158">
        <v>151.80000000000001</v>
      </c>
      <c r="P34" s="158"/>
      <c r="Q34" s="158"/>
    </row>
    <row r="38" spans="1:17">
      <c r="A38" t="s">
        <v>137</v>
      </c>
    </row>
    <row r="39" spans="1:17">
      <c r="A39" t="s">
        <v>138</v>
      </c>
    </row>
  </sheetData>
  <mergeCells count="1">
    <mergeCell ref="N10:P1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10</vt:i4>
      </vt:variant>
    </vt:vector>
  </HeadingPairs>
  <TitlesOfParts>
    <vt:vector size="10" baseType="lpstr">
      <vt:lpstr>Hoja1</vt:lpstr>
      <vt:lpstr>EJ 1_1</vt:lpstr>
      <vt:lpstr>EJ 1_2</vt:lpstr>
      <vt:lpstr>EJ 2_1</vt:lpstr>
      <vt:lpstr>EJ 2_2</vt:lpstr>
      <vt:lpstr>DELARACIONES 1</vt:lpstr>
      <vt:lpstr>DELARACIONES 2</vt:lpstr>
      <vt:lpstr>DELARACIONES 3</vt:lpstr>
      <vt:lpstr>DELARACIONES 4</vt:lpstr>
      <vt:lpstr>DELARACIONES 5</vt:lpstr>
    </vt:vector>
  </TitlesOfParts>
  <Company>Dixguel03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CONTRIBEC</dc:creator>
  <cp:lastModifiedBy>Maruto</cp:lastModifiedBy>
  <dcterms:created xsi:type="dcterms:W3CDTF">2022-01-20T01:07:27Z</dcterms:created>
  <dcterms:modified xsi:type="dcterms:W3CDTF">2022-08-24T15:13:35Z</dcterms:modified>
</cp:coreProperties>
</file>